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B0+JRz8jlOgAH+EGopGGM6cEpm6LJ2pvtp0zpldcEor3AP/6sjCVKfw0hLWJL9i6G/q/LAw9py/kO3aNxgRNJA==" workbookSaltValue="KT/lVnWJH8RJU2Yf2Pu9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P15" i="17"/>
  <c r="BL15" i="11"/>
  <c r="BJ10" i="11"/>
  <c r="BK16" i="11"/>
  <c r="BH11" i="11"/>
  <c r="BG16" i="11"/>
  <c r="S17" i="17"/>
  <c r="BM9" i="11"/>
  <c r="BH12" i="16"/>
  <c r="BK10" i="11"/>
  <c r="T13" i="20"/>
  <c r="BF15" i="8"/>
  <c r="BF9" i="8"/>
  <c r="AU18" i="21"/>
  <c r="S15" i="17"/>
  <c r="AH13" i="16"/>
  <c r="S16" i="17"/>
  <c r="L12" i="2"/>
  <c r="L17" i="2"/>
  <c r="X15" i="16"/>
  <c r="X18" i="16" s="1"/>
  <c r="V10" i="16"/>
  <c r="L9" i="2"/>
  <c r="AP13" i="16"/>
  <c r="V9" i="16"/>
  <c r="T18" i="17"/>
  <c r="BG15" i="13"/>
  <c r="BE16" i="13"/>
  <c r="BE15" i="13"/>
  <c r="AX20" i="20"/>
  <c r="AC19" i="8" l="1"/>
  <c r="S19" i="8"/>
  <c r="B13" i="2"/>
  <c r="C13" i="7"/>
  <c r="BG10" i="8"/>
  <c r="H10" i="2"/>
  <c r="U9" i="17"/>
  <c r="U19" i="17" s="1"/>
  <c r="X10" i="21"/>
  <c r="L16" i="2"/>
  <c r="L15" i="2"/>
  <c r="L10" i="2"/>
  <c r="BL16" i="11"/>
  <c r="BJ16" i="11"/>
  <c r="AQ12" i="21"/>
  <c r="BH16" i="11"/>
  <c r="BF15" i="11"/>
  <c r="BM17" i="11"/>
  <c r="Q15" i="17"/>
  <c r="BH10" i="16"/>
  <c r="BL10" i="11"/>
  <c r="BF12" i="11"/>
  <c r="BG12" i="11"/>
  <c r="BW10" i="20"/>
  <c r="BW12" i="20"/>
  <c r="BU11" i="17"/>
  <c r="BK17" i="11"/>
  <c r="BJ12" i="11"/>
  <c r="BM12" i="11"/>
  <c r="BF10" i="11"/>
  <c r="BM16" i="11"/>
  <c r="BH11" i="16"/>
  <c r="AL16" i="11"/>
  <c r="C16" i="6"/>
  <c r="BE9" i="13"/>
  <c r="S10" i="17"/>
  <c r="AQ10" i="21"/>
  <c r="BI9" i="11"/>
  <c r="BH10"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<sst xmlns="http://schemas.openxmlformats.org/spreadsheetml/2006/main" count="2088" uniqueCount="917">
  <si>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</si>
  <si>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</si>
  <si>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</si>
  <si>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</si>
  <si>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</si>
  <si>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</si>
  <si>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</si>
  <si>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</si>
  <si>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</si>
  <si>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</si>
  <si>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</si>
  <si>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</si>
  <si>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</si>
  <si>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</si>
  <si>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</si>
  <si>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</si>
  <si>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</si>
  <si>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</si>
  <si>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</si>
  <si>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</si>
  <si>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</si>
  <si>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</si>
  <si>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</si>
  <si>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</si>
  <si>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</si>
  <si>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</si>
  <si>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</si>
  <si>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</si>
  <si>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</si>
  <si>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</si>
  <si>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</si>
  <si>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</si>
  <si>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</si>
  <si>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</si>
  <si>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</si>
  <si>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</si>
  <si>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</si>
  <si>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</si>
  <si>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</si>
  <si>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</si>
  <si>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</si>
  <si>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</si>
  <si>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</si>
  <si>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</si>
  <si>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</si>
  <si>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</si>
  <si>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</si>
  <si>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</si>
  <si>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</si>
  <si>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</si>
  <si>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</si>
  <si>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</si>
  <si>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</si>
  <si>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</si>
  <si>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</si>
  <si>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</si>
  <si>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</si>
  <si>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</si>
  <si>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</si>
  <si>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</si>
  <si>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</si>
  <si>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</si>
  <si>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</si>
  <si>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</si>
  <si>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</si>
  <si>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</si>
  <si>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</si>
  <si>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</si>
  <si>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</si>
  <si>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</si>
  <si>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</si>
  <si>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</si>
  <si>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</si>
  <si>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</si>
  <si>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</si>
  <si>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</si>
  <si>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</si>
  <si>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</si>
  <si>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</si>
  <si>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</si>
  <si>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</si>
  <si>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</si>
  <si>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</si>
  <si>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</si>
  <si>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</si>
  <si>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</si>
  <si>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</si>
  <si>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</si>
  <si>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</si>
  <si>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</si>
  <si>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</si>
  <si>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</si>
  <si>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</si>
  <si>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</si>
  <si>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</si>
  <si>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</si>
  <si>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</si>
  <si>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</si>
  <si>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</si>
  <si>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</si>
  <si>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</si>
  <si>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</si>
  <si>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</si>
  <si>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</si>
  <si>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</si>
  <si>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</si>
  <si>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</si>
  <si>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</si>
  <si>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</si>
  <si>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</si>
  <si>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</si>
  <si>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</si>
  <si>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</si>
  <si>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</si>
  <si>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</si>
  <si>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</si>
  <si>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</si>
  <si>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</si>
  <si>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</si>
  <si>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</si>
  <si>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</si>
  <si>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</si>
  <si>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</si>
  <si>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</si>
  <si>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</si>
  <si>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</si>
  <si>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</si>
  <si>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</si>
  <si>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</si>
  <si>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</si>
  <si>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</si>
  <si>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</si>
  <si>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</si>
  <si>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</si>
  <si>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</si>
  <si>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</si>
  <si>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</si>
  <si>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</si>
  <si>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</si>
  <si>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</si>
  <si>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</si>
  <si>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</si>
  <si>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</si>
  <si>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</si>
  <si>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</si>
  <si>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</si>
  <si>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</si>
  <si>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</si>
  <si>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</si>
  <si>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</si>
  <si>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</si>
  <si>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</si>
  <si>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</si>
  <si>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</si>
  <si>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</si>
  <si>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</si>
  <si>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</si>
  <si>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</si>
  <si>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</si>
  <si>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</si>
  <si>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</si>
  <si>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</si>
  <si>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</si>
  <si>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</si>
  <si>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</si>
  <si>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</si>
  <si>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</si>
  <si>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</si>
  <si>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</si>
  <si>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</si>
  <si>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</si>
  <si>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</si>
  <si>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</si>
  <si>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</si>
  <si>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</si>
  <si>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</si>
  <si>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</si>
  <si>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</si>
  <si>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</si>
  <si>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</si>
  <si>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</si>
  <si>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</si>
  <si>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</si>
  <si>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</si>
  <si>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</si>
  <si>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</si>
  <si>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</si>
  <si>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</si>
  <si>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</si>
  <si>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</si>
  <si>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</si>
  <si>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</si>
  <si>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</si>
  <si>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</si>
  <si>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</si>
  <si>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</si>
  <si>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</si>
  <si>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</si>
  <si>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</si>
  <si>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</si>
  <si>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</si>
  <si>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</si>
  <si>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</si>
  <si>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</si>
  <si>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</si>
  <si>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</si>
  <si>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</si>
  <si>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</si>
  <si>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</si>
  <si>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</si>
  <si>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</si>
  <si>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</si>
  <si>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</si>
  <si>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</si>
  <si>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</si>
  <si>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</si>
  <si>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</si>
  <si>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</si>
  <si>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</si>
  <si>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</si>
  <si>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</si>
  <si>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</si>
  <si>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</si>
  <si>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</si>
  <si>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</si>
  <si>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</si>
  <si>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</si>
  <si>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</si>
  <si>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</si>
  <si>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</si>
  <si>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</si>
  <si>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</si>
  <si>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</si>
  <si>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</si>
  <si>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</si>
  <si>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</si>
  <si>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</si>
  <si>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</si>
  <si>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</si>
  <si>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</si>
  <si>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</si>
  <si>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</si>
  <si>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</si>
  <si>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</si>
  <si>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</si>
  <si>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</si>
  <si>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</si>
  <si>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</si>
  <si>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</si>
  <si>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</si>
  <si>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</si>
  <si>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</si>
  <si>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</si>
  <si>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</si>
  <si>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</si>
  <si>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</si>
  <si>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</si>
  <si>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</si>
  <si>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</si>
  <si>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</si>
  <si>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</si>
  <si>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</si>
  <si>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</si>
  <si>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</si>
  <si>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</si>
  <si>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</si>
  <si>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</si>
  <si>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</si>
  <si>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</si>
  <si>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</si>
  <si>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</si>
  <si>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</si>
  <si>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</si>
  <si>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</si>
  <si>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</si>
  <si>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</si>
  <si>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</si>
  <si>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</si>
  <si>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</si>
  <si>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</si>
  <si>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</si>
  <si>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</si>
  <si>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</si>
  <si>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</si>
  <si>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</si>
  <si>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</si>
  <si>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</si>
  <si>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</si>
  <si>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</si>
  <si>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</si>
  <si>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</si>
  <si>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</si>
  <si>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</si>
  <si>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</si>
  <si>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</si>
  <si>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</si>
  <si>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</si>
  <si>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</si>
  <si>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</si>
  <si>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</si>
  <si>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</si>
  <si>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</si>
  <si>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</si>
  <si>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</si>
  <si>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</si>
  <si>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</si>
  <si>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</si>
  <si>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</si>
  <si>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</si>
  <si>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</si>
  <si>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</si>
  <si>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</si>
  <si>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</si>
  <si>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</si>
  <si>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</si>
  <si>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</si>
  <si>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</si>
  <si>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</si>
  <si>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</si>
  <si>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</si>
  <si>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</si>
  <si>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</si>
  <si>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</si>
  <si>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</si>
  <si>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</si>
  <si>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</si>
  <si>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</si>
  <si>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</si>
  <si>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</si>
  <si>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</si>
  <si>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</si>
  <si>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</si>
  <si>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</si>
  <si>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</si>
  <si>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</si>
  <si>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</si>
  <si>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</si>
  <si>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</si>
  <si>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</si>
  <si>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</si>
  <si>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</si>
  <si>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</si>
  <si>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</si>
  <si>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</si>
  <si>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</si>
  <si>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</si>
  <si>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</si>
  <si>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</si>
  <si>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</si>
  <si>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</si>
  <si>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</si>
  <si>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</si>
  <si>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</si>
  <si>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</si>
  <si>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</si>
  <si>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</si>
  <si>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</si>
  <si>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</si>
  <si>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</si>
  <si>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</si>
  <si>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</si>
  <si>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</si>
  <si>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</si>
  <si>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</si>
  <si>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</si>
  <si>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</si>
  <si>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</si>
  <si>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</si>
  <si>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</si>
  <si>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</si>
  <si>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</si>
  <si>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</si>
  <si>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</si>
  <si>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</si>
  <si>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</si>
  <si>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</si>
  <si>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</si>
  <si>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</si>
  <si>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</si>
  <si>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</si>
  <si>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</si>
  <si>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</si>
  <si>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</si>
  <si>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</si>
  <si>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</si>
  <si>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</si>
  <si>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</si>
  <si>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</si>
  <si>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</si>
  <si>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</si>
  <si>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</si>
  <si>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</si>
  <si>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</si>
  <si>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</si>
  <si>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</si>
  <si>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</si>
  <si>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</si>
  <si>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</si>
  <si>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</si>
  <si>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</si>
  <si>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</si>
  <si>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</si>
  <si>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</si>
  <si>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</si>
  <si>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</si>
  <si>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</si>
  <si>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</si>
  <si>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</si>
  <si>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</si>
  <si>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</si>
  <si>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</si>
  <si>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</si>
  <si>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</si>
  <si>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</si>
  <si>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</si>
  <si>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</si>
  <si>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</si>
  <si>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</si>
  <si>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</si>
  <si>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</si>
  <si>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</si>
  <si>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</si>
  <si>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</si>
  <si>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</si>
  <si>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</si>
  <si>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</si>
  <si>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</si>
  <si>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</si>
  <si>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</si>
  <si>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</si>
  <si>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</si>
  <si>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</si>
  <si>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</si>
  <si>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</si>
  <si>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</si>
  <si>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</si>
  <si>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</si>
  <si>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</si>
  <si>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</si>
  <si>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</si>
  <si>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</si>
  <si>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</si>
  <si>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</si>
  <si>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</si>
  <si>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</si>
  <si>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</si>
  <si>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</si>
  <si>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</si>
  <si>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</si>
  <si>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</si>
  <si>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</si>
  <si>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</si>
  <si>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</si>
  <si>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</si>
  <si>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</si>
  <si>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</si>
  <si>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</si>
  <si>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</si>
  <si>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</si>
  <si>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</si>
  <si>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</si>
  <si>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</si>
  <si>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</si>
  <si>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</si>
  <si>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</si>
  <si>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</si>
  <si>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</si>
  <si>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</si>
  <si>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</si>
  <si>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</si>
  <si>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</si>
  <si>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</si>
  <si>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</si>
  <si>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</si>
  <si>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</si>
  <si>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</si>
  <si>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</si>
  <si>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</si>
  <si>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</si>
  <si>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</si>
  <si>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</si>
  <si>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</si>
  <si>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</si>
  <si>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</si>
  <si>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</si>
  <si>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</si>
  <si>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</si>
  <si>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</si>
  <si>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</si>
  <si>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</si>
  <si>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</si>
  <si>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</si>
  <si>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</si>
  <si>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</si>
  <si>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</si>
  <si>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</si>
  <si>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</si>
  <si>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</si>
  <si>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</si>
  <si>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</si>
  <si>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</si>
  <si>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</si>
  <si>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</si>
  <si>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</si>
  <si>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</si>
  <si>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</si>
  <si>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</si>
  <si>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</si>
  <si>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</si>
  <si>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</si>
  <si>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</si>
  <si>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</si>
  <si>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</si>
  <si>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</si>
  <si>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</si>
  <si>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</si>
  <si>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</si>
  <si>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</si>
  <si>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</si>
  <si>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</si>
  <si>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</si>
  <si>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</si>
  <si>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</si>
  <si>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</si>
  <si>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</si>
  <si>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</si>
  <si>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</si>
  <si>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</si>
  <si>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</si>
  <si>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</si>
  <si>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</si>
  <si>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</si>
  <si>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</si>
  <si>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</si>
  <si>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</si>
  <si>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</si>
  <si>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</si>
  <si>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</si>
  <si>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</si>
  <si>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</si>
  <si>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</si>
  <si>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</si>
  <si>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</si>
  <si>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</si>
  <si>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</si>
  <si>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</si>
  <si>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</si>
  <si>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</si>
  <si>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</si>
  <si>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</si>
  <si>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</si>
  <si>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</si>
  <si>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</si>
  <si>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</si>
  <si>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</si>
  <si>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</si>
  <si>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</si>
  <si>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</si>
  <si>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</si>
  <si>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</si>
  <si>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</si>
  <si>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</si>
  <si>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</si>
  <si>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</si>
  <si>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</si>
  <si>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</si>
  <si>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</si>
  <si>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</si>
  <si>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</si>
  <si>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</si>
  <si>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</si>
  <si>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</si>
  <si>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</si>
  <si>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</si>
  <si>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</si>
  <si>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</si>
  <si>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</si>
  <si>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</si>
  <si>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</si>
  <si>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</si>
  <si>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</si>
  <si>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</si>
  <si>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</si>
  <si>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</si>
  <si>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</si>
  <si>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</si>
  <si>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</si>
  <si>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</si>
  <si>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</si>
  <si>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</si>
  <si>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</si>
  <si>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</si>
  <si>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</si>
  <si>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</si>
  <si>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</si>
  <si>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</si>
  <si>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</si>
  <si>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</si>
  <si>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</si>
  <si>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</si>
  <si>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</si>
  <si>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</si>
  <si>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</si>
  <si>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</si>
  <si>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</si>
  <si>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</si>
  <si>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</si>
  <si>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</si>
  <si>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</si>
  <si>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</si>
  <si>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</si>
  <si>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</si>
  <si>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</si>
  <si>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</si>
  <si>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</si>
  <si>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</si>
  <si>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</si>
  <si>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</si>
  <si>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</si>
  <si>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</si>
  <si>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</si>
  <si>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</si>
  <si>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</si>
  <si>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</si>
  <si>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</si>
  <si>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</si>
  <si>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</si>
  <si>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</si>
  <si>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</si>
  <si>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</si>
  <si>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</si>
  <si>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</si>
  <si>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</si>
  <si>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</si>
  <si>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</si>
  <si>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</si>
  <si>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</si>
  <si>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</si>
  <si>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</si>
  <si>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</si>
  <si>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</si>
  <si>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</si>
  <si>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</si>
  <si>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</si>
  <si>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</si>
  <si>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</si>
  <si>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</si>
  <si>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</si>
  <si>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</si>
  <si>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</si>
  <si>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</si>
  <si>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</si>
  <si>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</si>
  <si>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</si>
  <si>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</si>
  <si>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</si>
  <si>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</si>
  <si>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</si>
  <si>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</si>
  <si>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</si>
  <si>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</si>
  <si>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</si>
  <si>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</si>
  <si>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</si>
  <si>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</si>
  <si>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</si>
  <si>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</si>
  <si>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</si>
  <si>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</si>
  <si>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</si>
  <si>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</si>
  <si>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</si>
  <si>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</si>
  <si>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</si>
  <si>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</si>
  <si>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</si>
  <si>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</si>
  <si>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</si>
  <si>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</si>
  <si>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</si>
  <si>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</si>
  <si>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</si>
  <si>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</si>
  <si>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</si>
  <si>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</si>
  <si>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</si>
  <si>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</si>
  <si>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</si>
  <si>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</si>
  <si>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</si>
  <si>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</si>
  <si>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</si>
  <si>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</si>
  <si>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</si>
  <si>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</si>
  <si>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</si>
  <si>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</si>
  <si>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</si>
  <si>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</si>
  <si>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</si>
  <si>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</si>
  <si>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</si>
  <si>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</si>
  <si>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</si>
  <si>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</si>
  <si>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</si>
  <si>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</si>
  <si>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</si>
  <si>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</si>
  <si>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</si>
  <si>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</si>
  <si>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</si>
  <si>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</si>
  <si>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</si>
  <si>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</si>
  <si>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</si>
  <si>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</si>
  <si>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</si>
  <si>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</si>
  <si>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</si>
  <si>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</si>
  <si>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</si>
  <si>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</si>
  <si>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</si>
  <si>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</si>
  <si>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</si>
  <si>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</si>
  <si>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</si>
  <si>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</si>
  <si>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</si>
  <si>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</si>
  <si>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</si>
  <si>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</si>
  <si>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</si>
  <si>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</si>
  <si>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</si>
  <si>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</si>
  <si>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</si>
  <si>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</si>
  <si>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</si>
  <si>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</si>
  <si>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</si>
  <si>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</si>
  <si>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</si>
  <si>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</si>
  <si>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</si>
  <si>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</si>
  <si>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</si>
  <si>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</si>
  <si>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</si>
  <si>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</si>
  <si>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</si>
  <si>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</si>
  <si>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</si>
  <si>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</si>
  <si>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</si>
  <si>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</si>
  <si>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</si>
  <si>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</si>
  <si>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</si>
  <si>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</si>
  <si>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</si>
  <si>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</si>
  <si>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</si>
  <si>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</si>
  <si>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</si>
  <si>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</si>
  <si>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</si>
  <si>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</si>
  <si>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</si>
  <si>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</si>
  <si>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</si>
  <si>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</si>
  <si>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</si>
  <si>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</si>
  <si>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</si>
  <si>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</si>
  <si>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</si>
  <si>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</si>
  <si>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</si>
  <si>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</si>
  <si>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</si>
  <si>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</si>
  <si>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</si>
  <si>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</si>
  <si>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</si>
  <si>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</si>
  <si>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</si>
  <si>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</si>
  <si>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</si>
  <si>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</si>
  <si>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</si>
  <si>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</si>
  <si>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</si>
  <si>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</si>
  <si>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</si>
  <si>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</si>
  <si>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</si>
  <si>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</si>
  <si>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</si>
  <si>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</si>
  <si>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</si>
  <si>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</si>
  <si>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</si>
  <si>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</si>
  <si>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</si>
  <si>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</si>
  <si>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</si>
  <si>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</si>
  <si>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</si>
  <si>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</si>
  <si>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</si>
  <si>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</si>
  <si>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</si>
  <si>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</si>
  <si>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</si>
  <si>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</si>
  <si>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</si>
  <si>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</si>
  <si>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</si>
  <si>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</si>
  <si>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</si>
  <si>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</si>
  <si>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</si>
  <si>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</si>
  <si>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</si>
  <si>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</si>
  <si>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</si>
  <si>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</si>
  <si>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</si>
  <si>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</si>
  <si>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</si>
  <si>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</si>
  <si>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</si>
  <si>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</si>
  <si>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</si>
  <si>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</si>
  <si>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</si>
  <si>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</si>
  <si>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</si>
  <si>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</si>
  <si>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</si>
  <si>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</si>
  <si>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</si>
  <si>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</si>
  <si>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</si>
  <si>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</si>
  <si>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</si>
  <si>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</si>
  <si>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</si>
  <si>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</si>
  <si>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</si>
  <si>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</si>
  <si>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</si>
  <si>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</si>
  <si>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</si>
  <si>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</si>
  <si>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</si>
  <si>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</si>
  <si>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</si>
  <si>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</si>
  <si>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</si>
  <si>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</si>
  <si>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</si>
  <si>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</si>
  <si>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</si>
  <si>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</si>
  <si>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</si>
  <si>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</si>
  <si>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</si>
  <si>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</si>
  <si>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</si>
  <si>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</si>
  <si>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</si>
  <si>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</si>
  <si>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</si>
  <si>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</si>
  <si>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</si>
  <si>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</si>
  <si>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</si>
  <si>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</si>
  <si>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</si>
  <si>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</si>
  <si>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</si>
  <si>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</si>
  <si>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</si>
  <si>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</si>
  <si>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</si>
  <si>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</si>
  <si>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</si>
  <si>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</si>
  <si>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</si>
  <si>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</si>
  <si>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</si>
  <si>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</si>
  <si>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</si>
  <si>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</si>
  <si>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</si>
  <si>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</si>
  <si>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</si>
  <si>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</si>
  <si>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</si>
  <si>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</si>
  <si>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</si>
  <si>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</si>
  <si>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</si>
  <si>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</si>
  <si>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</si>
  <si>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</si>
  <si>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</si>
  <si>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</si>
  <si>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</si>
  <si>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</si>
  <si>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</si>
  <si>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</si>
  <si>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</si>
  <si>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MOSTOLES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</si>
</sst>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rPuX2+nexD6KdrXoT3Am5UPTZU9/fYGMY1ooFdCOCUVbjjxi1MyIqEvpiQ/J6DfN9UPpdmd3Jbq/OH06OIq2w==" saltValue="fHAGTOcXU4h6ptwNQr+q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27.820411738939992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155</v>
      </c>
      <c r="D10" s="225">
        <f>IF(ISNUMBER(Datos!I10),Datos!I10," - ")</f>
        <v>155</v>
      </c>
      <c r="E10" s="226">
        <f>IF(ISNUMBER(Datos!J10),Datos!J10," - ")</f>
        <v>32</v>
      </c>
      <c r="F10" s="226">
        <f>IF(ISNUMBER(Datos!K10),Datos!K10," - ")</f>
        <v>26</v>
      </c>
      <c r="G10" s="1034" t="str">
        <f>IF(Datos!E10&lt;&gt;"",Datos!E10,Datos!D10)</f>
        <v>37</v>
      </c>
      <c r="H10" s="227">
        <f>IF(ISNUMBER(Datos!L10),Datos!L10," - ")</f>
        <v>161</v>
      </c>
      <c r="I10" s="1044" t="str">
        <f>IF(ISNUMBER(Datos!AS10/Datos!BM10),Datos!AS10/Datos!BM10," - ")</f>
        <v xml:space="preserve"> - </v>
      </c>
      <c r="J10" s="1045">
        <f>IF(ISNUMBER(Datos!BY10/Datos!CN10),Datos!BY10/Datos!CN10," - ")</f>
        <v>0</v>
      </c>
      <c r="K10" s="230">
        <f t="shared" ref="K10:K12" si="1">IF(ISNUMBER((E10-F10)/C10),(E10-F10)/C10," - ")</f>
        <v>3.870967741935484E-2</v>
      </c>
      <c r="L10" s="1025">
        <f>IF(ISNUMBER(NºAsuntos!I10/NºAsuntos!G10),(NºAsuntos!I10/NºAsuntos!G10)*11," - ")</f>
        <v>68.115384615384613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23.196374622356494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155</v>
      </c>
      <c r="D13" s="1049">
        <f>SUBTOTAL(9,D9:D12)</f>
        <v>155</v>
      </c>
      <c r="E13" s="1050">
        <f>SUBTOTAL(9,E9:E12)</f>
        <v>32</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2303</v>
      </c>
      <c r="D15" s="225">
        <f>IF(ISNUMBER(IF(D_I="SI",Datos!I15,Datos!I15+Datos!AC15)),IF(D_I="SI",Datos!I15,Datos!I15+Datos!AC15)," - ")</f>
        <v>2235</v>
      </c>
      <c r="E15" s="226">
        <f>IF(ISNUMBER(IF(D_I="SI",Datos!J15,Datos!J15+Datos!AD15)),IF(D_I="SI",Datos!J15,Datos!J15+Datos!AD15)," - ")</f>
        <v>3567</v>
      </c>
      <c r="F15" s="226">
        <f>IF(ISNUMBER(IF(D_I="SI",Datos!K15,Datos!K15+Datos!AE15)),IF(D_I="SI",Datos!K15,Datos!K15+Datos!AE15)," - ")</f>
        <v>3543</v>
      </c>
      <c r="G15" s="1034" t="str">
        <f>IF(Datos!E15&lt;&gt;"",Datos!E15,Datos!D15)</f>
        <v>03</v>
      </c>
      <c r="H15" s="227">
        <f>IF(ISNUMBER(IF(D_I="SI",Datos!L15,Datos!L15+Datos!AF15)),IF(D_I="SI",Datos!L15,Datos!L15+Datos!AF15)," - ")</f>
        <v>2327</v>
      </c>
      <c r="I15" s="1044" t="str">
        <f>IF(ISNUMBER(Datos!AS15/Datos!BM15),Datos!AS15/Datos!BM15," - ")</f>
        <v xml:space="preserve"> - </v>
      </c>
      <c r="J15" s="1045">
        <f>IF(ISNUMBER(Datos!BY15/Datos!CN15),Datos!BY15/Datos!CN15," - ")</f>
        <v>0</v>
      </c>
      <c r="K15" s="230">
        <f t="shared" ref="K15:K17" si="3">IF(ISNUMBER((E15-F15)/C15),(E15-F15)/C15," - ")</f>
        <v>1.0421189752496743E-2</v>
      </c>
      <c r="L15" s="1025">
        <f>IF(ISNUMBER(NºAsuntos!I15/NºAsuntos!G15),(NºAsuntos!I15/NºAsuntos!G15)*11," - ")</f>
        <v>7.2246683601467678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409</v>
      </c>
      <c r="D17" s="225">
        <f>IF(ISNUMBER(IF(D_I="SI",Datos!I17,Datos!I17+Datos!AC17)),IF(D_I="SI",Datos!I17,Datos!I17+Datos!AC17)," - ")</f>
        <v>409</v>
      </c>
      <c r="E17" s="226">
        <f>IF(ISNUMBER(IF(D_I="SI",Datos!J17,Datos!J17+Datos!AD17)),IF(D_I="SI",Datos!J17,Datos!J17+Datos!AD17)," - ")</f>
        <v>491</v>
      </c>
      <c r="F17" s="226">
        <f>IF(ISNUMBER(IF(D_I="SI",Datos!K17,Datos!K17+Datos!AE17)),IF(D_I="SI",Datos!K17,Datos!K17+Datos!AE17)," - ")</f>
        <v>510</v>
      </c>
      <c r="G17" s="1034" t="str">
        <f>IF(Datos!E17&lt;&gt;"",Datos!E17,Datos!D17)</f>
        <v>37</v>
      </c>
      <c r="H17" s="227">
        <f>IF(ISNUMBER(IF(D_I="SI",Datos!L17,Datos!L17+Datos!AF17)),IF(D_I="SI",Datos!L17,Datos!L17+Datos!AF17)," - ")</f>
        <v>390</v>
      </c>
      <c r="I17" s="1044" t="str">
        <f>IF(ISNUMBER(Datos!AS17/Datos!BM17),Datos!AS17/Datos!BM17," - ")</f>
        <v xml:space="preserve"> - </v>
      </c>
      <c r="J17" s="1045" t="str">
        <f>IF(ISNUMBER((Datos!BY17+Datos!BZ17)/Datos!CN17),(Datos!BY17+Datos!BZ17)/Datos!CN17," - ")</f>
        <v xml:space="preserve"> - </v>
      </c>
      <c r="K17" s="230">
        <f t="shared" si="3"/>
        <v>-4.6454767726161368E-2</v>
      </c>
      <c r="L17" s="1025">
        <f>IF(ISNUMBER(NºAsuntos!I17/NºAsuntos!G17),(NºAsuntos!I17/NºAsuntos!G17)*11," - ")</f>
        <v>8.4117647058823515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2712</v>
      </c>
      <c r="D18" s="1049">
        <f>SUBTOTAL(9,D15:D17)</f>
        <v>2644</v>
      </c>
      <c r="E18" s="1050">
        <f>SUBTOTAL(9,E15:E17)</f>
        <v>4058</v>
      </c>
      <c r="F18" s="1050">
        <f>SUBTOTAL(9,F15:F17)</f>
        <v>4053</v>
      </c>
      <c r="G18" s="1052" t="str">
        <f ca="1">INDIRECT(CONCATENATE("G",ROW()-1))</f>
        <v>37</v>
      </c>
      <c r="H18" s="1053">
        <f ca="1">SUMIF(G$14:G17,G18,H$14:H17)</f>
        <v>390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2867</v>
      </c>
      <c r="D19" s="1071">
        <f>SUBTOTAL(9,D9:D18)</f>
        <v>2799</v>
      </c>
      <c r="E19" s="1072">
        <f>SUBTOTAL(9,E9:E18)</f>
        <v>4090</v>
      </c>
      <c r="F19" s="1072">
        <f>SUBTOTAL(9,F9:F18)</f>
        <v>4079</v>
      </c>
      <c r="G19" s="1073"/>
      <c r="H19" s="1074">
        <f ca="1">SUMIF(B9:B18,"TOTAL",H9:H18)</f>
        <v>390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DWc2roIJRvyPgyyHGkomtD0Xc4Y9Woi8CtnikTZpQvLIOabwBtWHHV5XcYCh1GmVFIE1zepSObPnzyRpAcUrQ==" saltValue="w6A4AjnxwFdeRbh4F3nE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MNMQHCcRoafcl8Mx3PTkiGuSTXcpCRTsd4YtRgjCDaqCHKMS2BvuMNl6lyGdqw3JWeosmaGxPsxQKs72APGuA==" saltValue="0Tf0K1qCnQakQNkc5aaL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10952</v>
      </c>
      <c r="J9" s="181">
        <v>4750</v>
      </c>
      <c r="K9" s="181">
        <v>4519</v>
      </c>
      <c r="L9" s="181">
        <v>11381</v>
      </c>
      <c r="M9" s="181">
        <v>648</v>
      </c>
      <c r="N9" s="181">
        <v>2700</v>
      </c>
      <c r="O9" s="181">
        <v>1246</v>
      </c>
      <c r="P9" s="181">
        <v>863</v>
      </c>
      <c r="Q9" s="181">
        <v>633</v>
      </c>
      <c r="R9" s="181">
        <v>13489</v>
      </c>
      <c r="S9" s="181">
        <v>10208</v>
      </c>
      <c r="T9" s="181">
        <v>4263</v>
      </c>
      <c r="U9" s="181">
        <v>3700</v>
      </c>
      <c r="V9" s="181">
        <v>10771</v>
      </c>
      <c r="W9" s="181">
        <v>654</v>
      </c>
      <c r="X9" s="188">
        <v>2273</v>
      </c>
      <c r="Y9" s="191">
        <v>148</v>
      </c>
      <c r="Z9" s="181">
        <v>66</v>
      </c>
      <c r="AA9" s="181">
        <v>47</v>
      </c>
      <c r="AB9" s="181">
        <v>167</v>
      </c>
      <c r="AC9" s="181">
        <v>0</v>
      </c>
      <c r="AD9" s="181">
        <v>0</v>
      </c>
      <c r="AE9" s="181">
        <v>0</v>
      </c>
      <c r="AF9" s="188">
        <v>0</v>
      </c>
      <c r="AG9" s="191">
        <v>170</v>
      </c>
      <c r="AH9" s="181">
        <v>99</v>
      </c>
      <c r="AI9" s="181">
        <v>82</v>
      </c>
      <c r="AJ9" s="192">
        <v>187</v>
      </c>
      <c r="AK9" s="180">
        <v>0</v>
      </c>
      <c r="AL9" s="181">
        <v>0</v>
      </c>
      <c r="AM9" s="181">
        <v>0</v>
      </c>
      <c r="AN9" s="188">
        <v>0</v>
      </c>
      <c r="AO9" s="258">
        <v>7</v>
      </c>
      <c r="AP9" s="154">
        <v>7</v>
      </c>
      <c r="AQ9" s="154">
        <v>7</v>
      </c>
      <c r="AR9" s="193">
        <v>7</v>
      </c>
      <c r="AS9" s="338" t="s">
        <v>799</v>
      </c>
      <c r="AT9" s="195"/>
      <c r="AU9" s="194"/>
      <c r="AV9" s="195"/>
      <c r="AW9" s="194"/>
      <c r="AX9" s="195"/>
      <c r="AY9" s="123">
        <f>IF(ISNUMBER(IF(J_V="SI",S9,S9+AG9)),IF(J_V="SI",S9,S9+AG9)," - ")</f>
        <v>10378</v>
      </c>
      <c r="AZ9" s="123">
        <f>IF(ISNUMBER(IF(J_V="SI",T9,T9+AH9)),IF(J_V="SI",T9,T9+AH9)," - ")</f>
        <v>4362</v>
      </c>
      <c r="BA9" s="124">
        <f>IF(ISNUMBER(IF(J_V="SI",U9,U9+AI9)),IF(J_V="SI",U9,U9+AI9)," - ")</f>
        <v>3782</v>
      </c>
      <c r="BB9" s="124">
        <f>IF(ISNUMBER(IF(J_V="SI",V9,V9+AJ9)),IF(J_V="SI",V9,V9+AJ9)," - ")</f>
        <v>10958</v>
      </c>
      <c r="BC9" s="125">
        <f>IF(ISNUMBER(X9),X9," - ")</f>
        <v>2273</v>
      </c>
      <c r="BD9" s="126">
        <f>IF(ISNUMBER(BA9/AZ9),BA9/AZ9," - ")</f>
        <v>0.86703347088491522</v>
      </c>
      <c r="BE9" s="127">
        <f>IF(ISNUMBER(BB9/BA9),BB9/BA9, " - ")</f>
        <v>2.897408778424114</v>
      </c>
      <c r="BF9" s="127">
        <f>IF(ISNUMBER(BC9/BA9),BC9/BA9, " - ")</f>
        <v>0.60100475938656794</v>
      </c>
      <c r="BG9" s="196">
        <f>IF(ISNUMBER((AY9+AZ9)/BA9),(AY9+AZ9)/BA9," - ")</f>
        <v>3.897408778424114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155</v>
      </c>
      <c r="J10" s="181">
        <v>32</v>
      </c>
      <c r="K10" s="181">
        <v>26</v>
      </c>
      <c r="L10" s="181">
        <v>161</v>
      </c>
      <c r="M10" s="181">
        <v>9</v>
      </c>
      <c r="N10" s="181">
        <v>12</v>
      </c>
      <c r="O10" s="181">
        <v>6</v>
      </c>
      <c r="P10" s="181">
        <v>4</v>
      </c>
      <c r="Q10" s="181">
        <v>2</v>
      </c>
      <c r="R10" s="181">
        <v>70</v>
      </c>
      <c r="S10" s="181">
        <v>108</v>
      </c>
      <c r="T10" s="181">
        <v>54</v>
      </c>
      <c r="U10" s="181">
        <v>35</v>
      </c>
      <c r="V10" s="181">
        <v>127</v>
      </c>
      <c r="W10" s="181">
        <v>13</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108</v>
      </c>
      <c r="AZ10" s="129">
        <f t="shared" si="0"/>
        <v>54</v>
      </c>
      <c r="BA10" s="129">
        <f t="shared" si="0"/>
        <v>35</v>
      </c>
      <c r="BB10" s="129">
        <f t="shared" si="0"/>
        <v>127</v>
      </c>
      <c r="BC10" s="125">
        <f t="shared" si="0"/>
        <v>13</v>
      </c>
      <c r="BD10" s="126">
        <f>IF(ISNUMBER(BA10/AZ10),BA10/AZ10," - ")</f>
        <v>0.64814814814814814</v>
      </c>
      <c r="BE10" s="127">
        <f>IF(ISNUMBER(BB10/BA10),BB10/BA10, " - ")</f>
        <v>3.6285714285714286</v>
      </c>
      <c r="BF10" s="127">
        <f>IF(ISNUMBER(BC10/BA10),BC10/BA10, " - ")</f>
        <v>0.37142857142857144</v>
      </c>
      <c r="BG10" s="196">
        <f>IF(ISNUMBER((AY10+AZ10)/BA10),(AY10+AZ10)/BA10," - ")</f>
        <v>4.628571428571429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1076</v>
      </c>
      <c r="J11" s="183">
        <v>355</v>
      </c>
      <c r="K11" s="183">
        <v>381</v>
      </c>
      <c r="L11" s="183">
        <v>1050</v>
      </c>
      <c r="M11" s="183">
        <v>119</v>
      </c>
      <c r="N11" s="183">
        <v>408</v>
      </c>
      <c r="O11" s="181">
        <v>83</v>
      </c>
      <c r="P11" s="183">
        <v>138</v>
      </c>
      <c r="Q11" s="183">
        <v>39</v>
      </c>
      <c r="R11" s="183">
        <v>1043</v>
      </c>
      <c r="S11" s="183">
        <v>945</v>
      </c>
      <c r="T11" s="183">
        <v>522</v>
      </c>
      <c r="U11" s="183">
        <v>404</v>
      </c>
      <c r="V11" s="183">
        <v>1181</v>
      </c>
      <c r="W11" s="183">
        <v>136</v>
      </c>
      <c r="X11" s="189">
        <v>454</v>
      </c>
      <c r="Y11" s="191">
        <v>282</v>
      </c>
      <c r="Z11" s="181">
        <v>345</v>
      </c>
      <c r="AA11" s="181">
        <v>281</v>
      </c>
      <c r="AB11" s="181">
        <v>346</v>
      </c>
      <c r="AC11" s="183">
        <v>0</v>
      </c>
      <c r="AD11" s="183">
        <v>0</v>
      </c>
      <c r="AE11" s="183">
        <v>0</v>
      </c>
      <c r="AF11" s="189">
        <v>0</v>
      </c>
      <c r="AG11" s="202">
        <v>256</v>
      </c>
      <c r="AH11" s="183">
        <v>410</v>
      </c>
      <c r="AI11" s="183">
        <v>284</v>
      </c>
      <c r="AJ11" s="203">
        <v>382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1201</v>
      </c>
      <c r="AZ11" s="127">
        <f t="shared" si="1"/>
        <v>932</v>
      </c>
      <c r="BA11" s="127">
        <f t="shared" si="1"/>
        <v>688</v>
      </c>
      <c r="BB11" s="127">
        <f t="shared" si="1"/>
        <v>1563</v>
      </c>
      <c r="BC11" s="125">
        <f>IF(ISNUMBER(X11),X11," - ")</f>
        <v>454</v>
      </c>
      <c r="BD11" s="126">
        <f t="shared" ref="BD11:BD12" si="2">IF(ISNUMBER(BA11/AZ11),BA11/AZ11," - ")</f>
        <v>0.7381974248927039</v>
      </c>
      <c r="BE11" s="127">
        <f t="shared" ref="BE11:BE12" si="3">IF(ISNUMBER(BB11/BA11),BB11/BA11, " - ")</f>
        <v>2.2718023255813953</v>
      </c>
      <c r="BF11" s="127">
        <f t="shared" ref="BF11:BF12" si="4">IF(ISNUMBER(BC11/BA11),BC11/BA11, " - ")</f>
        <v>0.65988372093023251</v>
      </c>
      <c r="BG11" s="196">
        <f t="shared" ref="BG11:BG12" si="5">IF(ISNUMBER((AY11+AZ11)/BA11),(AY11+AZ11)/BA11," - ")</f>
        <v>3.1002906976744184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12183</v>
      </c>
      <c r="J13" s="184">
        <f t="shared" si="6"/>
        <v>5137</v>
      </c>
      <c r="K13" s="184">
        <f t="shared" si="6"/>
        <v>4926</v>
      </c>
      <c r="L13" s="184">
        <f t="shared" si="6"/>
        <v>12592</v>
      </c>
      <c r="M13" s="184">
        <f t="shared" si="6"/>
        <v>776</v>
      </c>
      <c r="N13" s="184">
        <f t="shared" si="6"/>
        <v>3120</v>
      </c>
      <c r="O13" s="184">
        <f t="shared" si="6"/>
        <v>1335</v>
      </c>
      <c r="P13" s="184">
        <f t="shared" si="6"/>
        <v>1005</v>
      </c>
      <c r="Q13" s="184">
        <f t="shared" si="6"/>
        <v>674</v>
      </c>
      <c r="R13" s="184">
        <f t="shared" si="6"/>
        <v>14602</v>
      </c>
      <c r="S13" s="184">
        <f t="shared" si="6"/>
        <v>11261</v>
      </c>
      <c r="T13" s="184">
        <f t="shared" si="6"/>
        <v>4839</v>
      </c>
      <c r="U13" s="184">
        <f t="shared" si="6"/>
        <v>4139</v>
      </c>
      <c r="V13" s="184">
        <f t="shared" si="6"/>
        <v>12079</v>
      </c>
      <c r="W13" s="184">
        <f t="shared" si="6"/>
        <v>803</v>
      </c>
      <c r="X13" s="184">
        <f t="shared" si="6"/>
        <v>2742</v>
      </c>
      <c r="Y13" s="184">
        <f t="shared" si="6"/>
        <v>430</v>
      </c>
      <c r="Z13" s="184">
        <f t="shared" si="6"/>
        <v>411</v>
      </c>
      <c r="AA13" s="184">
        <f t="shared" si="6"/>
        <v>328</v>
      </c>
      <c r="AB13" s="184">
        <f t="shared" si="6"/>
        <v>513</v>
      </c>
      <c r="AC13" s="184">
        <f t="shared" si="6"/>
        <v>0</v>
      </c>
      <c r="AD13" s="184">
        <f t="shared" si="6"/>
        <v>0</v>
      </c>
      <c r="AE13" s="184">
        <f t="shared" si="6"/>
        <v>0</v>
      </c>
      <c r="AF13" s="184">
        <f>SUBTOTAL(9,AF9:AF12)</f>
        <v>0</v>
      </c>
      <c r="AG13" s="184">
        <f t="shared" ref="AG13:AT13" si="7">SUBTOTAL(9,AG8:AG12)</f>
        <v>426</v>
      </c>
      <c r="AH13" s="184">
        <f t="shared" si="7"/>
        <v>509</v>
      </c>
      <c r="AI13" s="184">
        <f t="shared" si="7"/>
        <v>366</v>
      </c>
      <c r="AJ13" s="184">
        <f t="shared" si="7"/>
        <v>569</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11687</v>
      </c>
      <c r="AZ13" s="184">
        <f>SUBTOTAL(9,AZ8:AZ12)</f>
        <v>5348</v>
      </c>
      <c r="BA13" s="184">
        <f>SUBTOTAL(9,BA8:BA12)</f>
        <v>4505</v>
      </c>
      <c r="BB13" s="184">
        <f>SUBTOTAL(9,BB8:BB12)</f>
        <v>12648</v>
      </c>
      <c r="BC13" s="184">
        <f>SUBTOTAL(9,BC8:BC12)</f>
        <v>2740</v>
      </c>
      <c r="BD13" s="205">
        <f>IF(ISNUMBER(BA13/AZ13),BA13/AZ13," - ")</f>
        <v>0.84237097980553477</v>
      </c>
      <c r="BE13" s="206">
        <f>IF(ISNUMBER(BB13/BA13),BB13/BA13, " - ")</f>
        <v>2.8075471698113206</v>
      </c>
      <c r="BF13" s="206">
        <f>IF(ISNUMBER(BC13/BA13),BC13/BA13, " - ")</f>
        <v>0.6082130965593785</v>
      </c>
      <c r="BG13" s="207">
        <f>IF(ISNUMBER((AY13+AZ13)/BA13),(AY13+AZ13)/BA13," - ")</f>
        <v>3.7813540510543842</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2235</v>
      </c>
      <c r="J15" s="183">
        <v>3567</v>
      </c>
      <c r="K15" s="183">
        <v>3543</v>
      </c>
      <c r="L15" s="183">
        <v>2327</v>
      </c>
      <c r="M15" s="183">
        <v>187</v>
      </c>
      <c r="N15" s="183">
        <v>2326</v>
      </c>
      <c r="O15" s="181">
        <v>21</v>
      </c>
      <c r="P15" s="183">
        <v>43</v>
      </c>
      <c r="Q15" s="183">
        <v>60</v>
      </c>
      <c r="R15" s="183">
        <v>323</v>
      </c>
      <c r="S15" s="183">
        <v>2376</v>
      </c>
      <c r="T15" s="183">
        <v>3591</v>
      </c>
      <c r="U15" s="183">
        <v>3354</v>
      </c>
      <c r="V15" s="183">
        <v>2656</v>
      </c>
      <c r="W15" s="183">
        <v>243</v>
      </c>
      <c r="X15" s="189">
        <v>2211</v>
      </c>
      <c r="Y15" s="202">
        <v>0</v>
      </c>
      <c r="Z15" s="183">
        <v>0</v>
      </c>
      <c r="AA15" s="183">
        <v>0</v>
      </c>
      <c r="AB15" s="183">
        <v>0</v>
      </c>
      <c r="AC15" s="183">
        <v>0</v>
      </c>
      <c r="AD15" s="183">
        <v>82</v>
      </c>
      <c r="AE15" s="183">
        <v>82</v>
      </c>
      <c r="AF15" s="189">
        <v>0</v>
      </c>
      <c r="AG15" s="202">
        <v>0</v>
      </c>
      <c r="AH15" s="183">
        <v>0</v>
      </c>
      <c r="AI15" s="183">
        <v>0</v>
      </c>
      <c r="AJ15" s="203">
        <v>0</v>
      </c>
      <c r="AK15" s="182">
        <v>0</v>
      </c>
      <c r="AL15" s="183">
        <v>60</v>
      </c>
      <c r="AM15" s="183">
        <v>59</v>
      </c>
      <c r="AN15" s="189">
        <v>1</v>
      </c>
      <c r="AO15" s="259">
        <v>6</v>
      </c>
      <c r="AP15" s="155">
        <v>6</v>
      </c>
      <c r="AQ15" s="155">
        <v>6</v>
      </c>
      <c r="AR15" s="155">
        <v>6</v>
      </c>
      <c r="AS15" s="340" t="s">
        <v>527</v>
      </c>
      <c r="AT15" s="203" t="s">
        <v>326</v>
      </c>
      <c r="AU15" s="202"/>
      <c r="AV15" s="203"/>
      <c r="AW15" s="202"/>
      <c r="AX15" s="203"/>
      <c r="AY15" s="128">
        <f t="shared" ref="AY15:BB16" si="9">IF(ISNUMBER(IF(D_I="SI",S15,S15+AK15)),IF(D_I="SI",S15,S15+AK15)," - ")</f>
        <v>2376</v>
      </c>
      <c r="AZ15" s="129">
        <f t="shared" si="9"/>
        <v>3591</v>
      </c>
      <c r="BA15" s="129">
        <f t="shared" si="9"/>
        <v>3354</v>
      </c>
      <c r="BB15" s="129">
        <f t="shared" si="9"/>
        <v>2656</v>
      </c>
      <c r="BC15" s="125">
        <f>IF(ISNUMBER(W15),W15," - ")</f>
        <v>243</v>
      </c>
      <c r="BD15" s="126">
        <f>IF(ISNUMBER(BA15/AZ15),BA15/AZ15," - ")</f>
        <v>0.93400167084377606</v>
      </c>
      <c r="BE15" s="127">
        <f>IF(ISNUMBER(BB15/BA15),BB15/BA15, " - ")</f>
        <v>0.79189028026237329</v>
      </c>
      <c r="BF15" s="127">
        <f>IF(ISNUMBER(BC15/BA15),BC15/BA15, " - ")</f>
        <v>7.2450805008944547E-2</v>
      </c>
      <c r="BG15" s="196">
        <f t="shared" ref="BG15:BG16" si="10">IF(ISNUMBER((AY15+AZ15)/BA15),(AY15+AZ15)/BA15," - ")</f>
        <v>1.7790697674418605</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409</v>
      </c>
      <c r="J17" s="183">
        <v>491</v>
      </c>
      <c r="K17" s="183">
        <v>510</v>
      </c>
      <c r="L17" s="183">
        <v>390</v>
      </c>
      <c r="M17" s="183">
        <v>12</v>
      </c>
      <c r="N17" s="183">
        <v>308</v>
      </c>
      <c r="O17" s="183">
        <v>0</v>
      </c>
      <c r="P17" s="183">
        <v>0</v>
      </c>
      <c r="Q17" s="183">
        <v>0</v>
      </c>
      <c r="R17" s="183">
        <v>17</v>
      </c>
      <c r="S17" s="183">
        <v>386</v>
      </c>
      <c r="T17" s="183">
        <v>601</v>
      </c>
      <c r="U17" s="183">
        <v>503</v>
      </c>
      <c r="V17" s="183">
        <v>484</v>
      </c>
      <c r="W17" s="183">
        <v>20</v>
      </c>
      <c r="X17" s="189">
        <v>289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386</v>
      </c>
      <c r="AZ17" s="129">
        <f t="shared" si="14"/>
        <v>601</v>
      </c>
      <c r="BA17" s="129">
        <f t="shared" si="14"/>
        <v>503</v>
      </c>
      <c r="BB17" s="129">
        <f t="shared" si="14"/>
        <v>484</v>
      </c>
      <c r="BC17" s="125">
        <f>IF(ISNUMBER(W17),W17," - ")</f>
        <v>20</v>
      </c>
      <c r="BD17" s="126">
        <f>IF(ISNUMBER(BA17/AZ17),BA17/AZ17," - ")</f>
        <v>0.83693843594009987</v>
      </c>
      <c r="BE17" s="127">
        <f>IF(ISNUMBER(BB17/BA17),BB17/BA17, " - ")</f>
        <v>0.96222664015904569</v>
      </c>
      <c r="BF17" s="127">
        <f>IF(ISNUMBER(BC17/BA17),BC17/BA17, " - ")</f>
        <v>3.9761431411530816E-2</v>
      </c>
      <c r="BG17" s="196">
        <f>IF(ISNUMBER((AY17+AZ17)/BA17),(AY17+AZ17)/BA17," - ")</f>
        <v>1.9622266401590458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2644</v>
      </c>
      <c r="J18" s="184">
        <f t="shared" si="15"/>
        <v>4058</v>
      </c>
      <c r="K18" s="184">
        <f t="shared" si="15"/>
        <v>4053</v>
      </c>
      <c r="L18" s="184">
        <f t="shared" si="15"/>
        <v>2717</v>
      </c>
      <c r="M18" s="184">
        <f t="shared" si="15"/>
        <v>199</v>
      </c>
      <c r="N18" s="184">
        <f t="shared" si="15"/>
        <v>2634</v>
      </c>
      <c r="O18" s="184">
        <f t="shared" si="15"/>
        <v>21</v>
      </c>
      <c r="P18" s="184">
        <f t="shared" si="15"/>
        <v>43</v>
      </c>
      <c r="Q18" s="184">
        <f t="shared" si="15"/>
        <v>60</v>
      </c>
      <c r="R18" s="184">
        <f t="shared" si="15"/>
        <v>340</v>
      </c>
      <c r="S18" s="184">
        <f t="shared" si="15"/>
        <v>2762</v>
      </c>
      <c r="T18" s="184">
        <f t="shared" si="15"/>
        <v>4192</v>
      </c>
      <c r="U18" s="184">
        <f t="shared" si="15"/>
        <v>3857</v>
      </c>
      <c r="V18" s="184">
        <f t="shared" si="15"/>
        <v>3140</v>
      </c>
      <c r="W18" s="184">
        <f t="shared" si="15"/>
        <v>263</v>
      </c>
      <c r="X18" s="184">
        <f t="shared" si="15"/>
        <v>2500</v>
      </c>
      <c r="Y18" s="184">
        <f t="shared" si="15"/>
        <v>0</v>
      </c>
      <c r="Z18" s="184">
        <f t="shared" si="15"/>
        <v>0</v>
      </c>
      <c r="AA18" s="184">
        <f t="shared" si="15"/>
        <v>0</v>
      </c>
      <c r="AB18" s="184">
        <f t="shared" si="15"/>
        <v>0</v>
      </c>
      <c r="AC18" s="184">
        <f t="shared" si="15"/>
        <v>0</v>
      </c>
      <c r="AD18" s="184">
        <f t="shared" si="15"/>
        <v>82</v>
      </c>
      <c r="AE18" s="184">
        <f t="shared" si="15"/>
        <v>82</v>
      </c>
      <c r="AF18" s="184">
        <f t="shared" si="15"/>
        <v>0</v>
      </c>
      <c r="AG18" s="184">
        <f t="shared" si="15"/>
        <v>0</v>
      </c>
      <c r="AH18" s="184">
        <f t="shared" si="15"/>
        <v>0</v>
      </c>
      <c r="AI18" s="184">
        <f t="shared" si="15"/>
        <v>0</v>
      </c>
      <c r="AJ18" s="184">
        <f t="shared" si="15"/>
        <v>0</v>
      </c>
      <c r="AK18" s="184">
        <f t="shared" si="15"/>
        <v>0</v>
      </c>
      <c r="AL18" s="184">
        <f t="shared" si="15"/>
        <v>60</v>
      </c>
      <c r="AM18" s="184">
        <f t="shared" si="15"/>
        <v>59</v>
      </c>
      <c r="AN18" s="184">
        <f t="shared" si="15"/>
        <v>1</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2762</v>
      </c>
      <c r="AZ18" s="184">
        <f>SUBTOTAL(9,AZ14:AZ17)</f>
        <v>4192</v>
      </c>
      <c r="BA18" s="184">
        <f>SUBTOTAL(9,BA14:BA17)</f>
        <v>3857</v>
      </c>
      <c r="BB18" s="184">
        <f>SUBTOTAL(9,BB14:BB17)</f>
        <v>3140</v>
      </c>
      <c r="BC18" s="184">
        <f>SUBTOTAL(9,BC14:BC17)</f>
        <v>263</v>
      </c>
      <c r="BD18" s="205">
        <f>IF(ISNUMBER(BA18/AZ18),BA18/AZ18," - ")</f>
        <v>0.92008587786259544</v>
      </c>
      <c r="BE18" s="206">
        <f>IF(ISNUMBER(BB18/BA18),BB18/BA18, " - ")</f>
        <v>0.81410422608244748</v>
      </c>
      <c r="BF18" s="206">
        <f>IF(ISNUMBER(BC18/BA18),BC18/BA18, " - ")</f>
        <v>6.8187710655950223E-2</v>
      </c>
      <c r="BG18" s="207">
        <f>IF(ISNUMBER((AY18+AZ18)/BA18),(AY18+AZ18)/BA18," - ")</f>
        <v>1.8029556650246306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14827</v>
      </c>
      <c r="J19" s="134">
        <f t="shared" si="18"/>
        <v>9195</v>
      </c>
      <c r="K19" s="134">
        <f t="shared" si="18"/>
        <v>8979</v>
      </c>
      <c r="L19" s="134">
        <f t="shared" si="18"/>
        <v>15309</v>
      </c>
      <c r="M19" s="134">
        <f t="shared" si="18"/>
        <v>975</v>
      </c>
      <c r="N19" s="134">
        <f t="shared" si="18"/>
        <v>5754</v>
      </c>
      <c r="O19" s="134">
        <f t="shared" si="18"/>
        <v>1356</v>
      </c>
      <c r="P19" s="134">
        <f t="shared" si="18"/>
        <v>1048</v>
      </c>
      <c r="Q19" s="134">
        <f t="shared" si="18"/>
        <v>734</v>
      </c>
      <c r="R19" s="134">
        <f t="shared" si="18"/>
        <v>14942</v>
      </c>
      <c r="S19" s="134">
        <f t="shared" si="18"/>
        <v>14023</v>
      </c>
      <c r="T19" s="134">
        <f t="shared" si="18"/>
        <v>9031</v>
      </c>
      <c r="U19" s="134">
        <f t="shared" si="18"/>
        <v>7996</v>
      </c>
      <c r="V19" s="134">
        <f t="shared" si="18"/>
        <v>15219</v>
      </c>
      <c r="W19" s="134">
        <f t="shared" si="18"/>
        <v>1066</v>
      </c>
      <c r="X19" s="134">
        <f t="shared" si="18"/>
        <v>5242</v>
      </c>
      <c r="Y19" s="134">
        <f t="shared" si="18"/>
        <v>430</v>
      </c>
      <c r="Z19" s="134">
        <f t="shared" si="18"/>
        <v>411</v>
      </c>
      <c r="AA19" s="134">
        <f t="shared" si="18"/>
        <v>328</v>
      </c>
      <c r="AB19" s="134">
        <f t="shared" si="18"/>
        <v>513</v>
      </c>
      <c r="AC19" s="134">
        <f t="shared" si="18"/>
        <v>0</v>
      </c>
      <c r="AD19" s="134">
        <f t="shared" si="18"/>
        <v>82</v>
      </c>
      <c r="AE19" s="134">
        <f t="shared" si="18"/>
        <v>82</v>
      </c>
      <c r="AF19" s="134">
        <f t="shared" si="18"/>
        <v>0</v>
      </c>
      <c r="AG19" s="134">
        <f t="shared" si="18"/>
        <v>426</v>
      </c>
      <c r="AH19" s="134">
        <f t="shared" si="18"/>
        <v>509</v>
      </c>
      <c r="AI19" s="134">
        <f t="shared" si="18"/>
        <v>366</v>
      </c>
      <c r="AJ19" s="134">
        <f t="shared" si="18"/>
        <v>569</v>
      </c>
      <c r="AK19" s="134">
        <f t="shared" si="18"/>
        <v>0</v>
      </c>
      <c r="AL19" s="134">
        <f t="shared" si="18"/>
        <v>60</v>
      </c>
      <c r="AM19" s="134">
        <f t="shared" si="18"/>
        <v>59</v>
      </c>
      <c r="AN19" s="210">
        <f t="shared" si="18"/>
        <v>1</v>
      </c>
      <c r="AO19" s="211">
        <v>16</v>
      </c>
      <c r="AP19" s="211">
        <v>16</v>
      </c>
      <c r="AQ19" s="211">
        <v>16</v>
      </c>
      <c r="AR19" s="211">
        <v>16</v>
      </c>
      <c r="AS19" s="153">
        <f t="shared" si="18"/>
        <v>0</v>
      </c>
      <c r="AT19" s="153">
        <f t="shared" si="18"/>
        <v>0</v>
      </c>
      <c r="AU19" s="211"/>
      <c r="AV19" s="212"/>
      <c r="AW19" s="211"/>
      <c r="AX19" s="212"/>
      <c r="AY19" s="133">
        <f>SUBTOTAL(9,AY9:AY18)</f>
        <v>14449</v>
      </c>
      <c r="AZ19" s="134">
        <f>SUBTOTAL(9,AZ9:AZ18)</f>
        <v>9540</v>
      </c>
      <c r="BA19" s="134">
        <f>SUBTOTAL(9,BA9:BA18)</f>
        <v>8362</v>
      </c>
      <c r="BB19" s="134">
        <f>SUBTOTAL(9,BB9:BB18)</f>
        <v>15788</v>
      </c>
      <c r="BC19" s="135">
        <f>SUBTOTAL(9,BC9:BC18)</f>
        <v>3003</v>
      </c>
      <c r="BD19" s="213">
        <f>IF(ISNUMBER(BA19/AZ19),BA19/AZ19," - ")</f>
        <v>0.87651991614255764</v>
      </c>
      <c r="BE19" s="210">
        <f>IF(ISNUMBER(BB19/BA19),BB19/BA19, " - ")</f>
        <v>1.8880650562066492</v>
      </c>
      <c r="BF19" s="210">
        <f>IF(ISNUMBER(BC19/BA19),BC19/BA19, " - ")</f>
        <v>0.35912461133700074</v>
      </c>
      <c r="BG19" s="135">
        <f>IF(ISNUMBER((AY19+AZ19)/BA19),(AY19+AZ19)/BA19," - ")</f>
        <v>2.8688112891652713</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EXQu1E2uaKl8z+dRNs0MRDAOWHTOjWyWJzpI+JCtvw+n8w6VtE/XCtnADUz6C0tXA7czkAZ96eSgY6uxa6Dnw==" saltValue="YvCiF1Ep1/d30HE4mxCW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F2w24Nwgko5/Up8DfCmVJM5z7V9tAEfhz+vkhWnU/YMW6DtZW8Q/wtl9x4byhX0FRPMgXNnihMWOgBDc1B7iQ==" saltValue="WSCvbR4NsicPHl/Nfpfc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66</v>
      </c>
      <c r="O9" s="334"/>
      <c r="P9" s="334"/>
      <c r="Q9" s="226">
        <f>IF(ISNUMBER(Datos!P9),Datos!P9,0)</f>
        <v>863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633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167</v>
      </c>
      <c r="AI9" s="334" t="str">
        <f>IF(ISNUMBER(Datos!CD9),Datos!CD9,"-")</f>
        <v>-</v>
      </c>
      <c r="AJ9" s="334" t="str">
        <f>IF(ISNUMBER(Datos!EN9),Datos!EN9," - ")</f>
        <v xml:space="preserve"> - </v>
      </c>
      <c r="AK9" s="334"/>
      <c r="AL9" s="479"/>
      <c r="AM9" s="335">
        <f>IF(ISNUMBER(Datos!R9),Datos!R9," - ")</f>
        <v>13489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648</v>
      </c>
      <c r="BD9" s="229">
        <f>IF(ISNUMBER(Datos!N9),Datos!N9," - ")</f>
        <v>2700</v>
      </c>
      <c r="BE9" s="229" t="str">
        <f>IF(ISNUMBER(Datos!BW9),Datos!BW9," - ")</f>
        <v xml:space="preserve"> - </v>
      </c>
      <c r="BF9" s="228" t="str">
        <f>IF(ISNUMBER(Datos!BX9),Datos!BX9," - ")</f>
        <v xml:space="preserve"> - </v>
      </c>
      <c r="BG9" s="243">
        <f>IF(ISNUMBER(IF(J_V="SI",Datos!K9/Datos!J9,(Datos!K9+Datos!AA9)/(Datos!J9+Datos!Z9))),IF(J_V="SI",Datos!K9/Datos!J9,(Datos!K9+Datos!AA9)/(Datos!J9+Datos!Z9))," - ")</f>
        <v>0.94808970099667778</v>
      </c>
      <c r="BH9" s="260">
        <f>IF(ISNUMBER(((IF(J_V="SI",Datos!L9/Datos!K9,(Datos!L9+Datos!AB9)/(Datos!K9+Datos!AA9)))*11)/factor_trimestre),((IF(J_V="SI",Datos!L9/Datos!K9,(Datos!L9+Datos!AB9)/(Datos!K9+Datos!AA9)))*11)/factor_trimestre," - ")</f>
        <v>5.058256679807271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1.7346707896523116E-2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155</v>
      </c>
      <c r="G10" s="333">
        <f>IF(ISNUMBER(Datos!I10),Datos!I10," - ")</f>
        <v>155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2</v>
      </c>
      <c r="AD10" s="334"/>
      <c r="AE10" s="484"/>
      <c r="AF10" s="332">
        <f>IF(ISNUMBER(Datos!L10),Datos!L10,"-")</f>
        <v>161</v>
      </c>
      <c r="AG10" s="334"/>
      <c r="AH10" s="334"/>
      <c r="AI10" s="334"/>
      <c r="AJ10" s="334"/>
      <c r="AK10" s="334"/>
      <c r="AL10" s="479"/>
      <c r="AM10" s="335">
        <f>IF(ISNUMBER(Datos!R10),Datos!R10," - ")</f>
        <v>70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12</v>
      </c>
      <c r="BE10" s="229" t="str">
        <f>IF(ISNUMBER(Datos!BW10),Datos!BW10," - ")</f>
        <v xml:space="preserve"> - </v>
      </c>
      <c r="BF10" s="228" t="str">
        <f>IF(ISNUMBER(Datos!BX10),Datos!BX10," - ")</f>
        <v xml:space="preserve"> - </v>
      </c>
      <c r="BG10" s="243">
        <f>IF(ISNUMBER(Datos!K10/Datos!J10),Datos!K10/Datos!J10," - ")</f>
        <v>0.8125</v>
      </c>
      <c r="BH10" s="260">
        <f>IF(ISNUMBER(((Datos!L10/Datos!K10)*11)/factor_trimestre),((Datos!L10/Datos!K10)*11)/factor_trimestre," - ")</f>
        <v>12.384615384615385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2.9411764705882353E-2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345</v>
      </c>
      <c r="O11" s="334"/>
      <c r="P11" s="334"/>
      <c r="Q11" s="226">
        <f>IF(ISNUMBER(Datos!P11),Datos!P11,0)</f>
        <v>138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39</v>
      </c>
      <c r="AD11" s="334"/>
      <c r="AE11" s="484"/>
      <c r="AF11" s="332" t="str">
        <f>IF(ISNUMBER(IF(J_V="SI",Datos!L11,Datos!L11+Datos!AB11)-IF(Monitorios="SI",Datos!CD11,0)),
                          IF(J_V="SI",Datos!L11,Datos!L11+Datos!AB11)-IF(Monitorios="SI",Datos!CD11,0),
                          " - ")</f>
        <v xml:space="preserve"> - </v>
      </c>
      <c r="AG11" s="334"/>
      <c r="AH11" s="334">
        <f>IF(ISNUMBER(Datos!AB11),Datos!AB11,"-")</f>
        <v>346</v>
      </c>
      <c r="AI11" s="334"/>
      <c r="AJ11" s="334"/>
      <c r="AK11" s="334"/>
      <c r="AL11" s="479"/>
      <c r="AM11" s="335">
        <f>IF(ISNUMBER(Datos!R11),Datos!R11," - ")</f>
        <v>1043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119</v>
      </c>
      <c r="BD11" s="229">
        <f>IF(ISNUMBER(Datos!N11),Datos!N11," - ")</f>
        <v>408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0.94571428571428573</v>
      </c>
      <c r="BH11" s="260">
        <f>IF(ISNUMBER(((IF(J_V="SI",Datos!L11/Datos!K11,(Datos!L11+Datos!AB11)/(Datos!K11+Datos!AA11)))*11)/factor_trimestre),((IF(J_V="SI",Datos!L11/Datos!K11,(Datos!L11+Datos!AB11)/(Datos!K11+Datos!AA11)))*11)/factor_trimestre," - ")</f>
        <v>4.2175226586102719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0.1048728813559322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155</v>
      </c>
      <c r="G13" s="898">
        <f t="shared" si="0"/>
        <v>155</v>
      </c>
      <c r="H13" s="899">
        <f t="shared" si="0"/>
        <v>0</v>
      </c>
      <c r="I13" s="898">
        <f t="shared" si="0"/>
        <v>0</v>
      </c>
      <c r="J13" s="867">
        <f t="shared" si="0"/>
        <v>0</v>
      </c>
      <c r="K13" s="867">
        <f t="shared" si="0"/>
        <v>0</v>
      </c>
      <c r="L13" s="899">
        <f t="shared" si="0"/>
        <v>0</v>
      </c>
      <c r="M13" s="899">
        <f t="shared" si="0"/>
        <v>0</v>
      </c>
      <c r="N13" s="899">
        <f t="shared" si="0"/>
        <v>411</v>
      </c>
      <c r="O13" s="900">
        <f t="shared" si="0"/>
        <v>0</v>
      </c>
      <c r="P13" s="900">
        <f t="shared" si="0"/>
        <v>0</v>
      </c>
      <c r="Q13" s="899">
        <f t="shared" si="0"/>
        <v>1005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674</v>
      </c>
      <c r="AD13" s="899">
        <f t="shared" si="1"/>
        <v>0</v>
      </c>
      <c r="AE13" s="899">
        <f t="shared" si="1"/>
        <v>0</v>
      </c>
      <c r="AF13" s="899">
        <f t="shared" si="1"/>
        <v>161</v>
      </c>
      <c r="AG13" s="899">
        <f t="shared" si="1"/>
        <v>0</v>
      </c>
      <c r="AH13" s="899">
        <f t="shared" si="1"/>
        <v>513</v>
      </c>
      <c r="AI13" s="899">
        <f t="shared" si="1"/>
        <v>0</v>
      </c>
      <c r="AJ13" s="899">
        <f t="shared" si="1"/>
        <v>0</v>
      </c>
      <c r="AK13" s="899">
        <f t="shared" si="1"/>
        <v>0</v>
      </c>
      <c r="AL13" s="899">
        <f t="shared" si="1"/>
        <v>0</v>
      </c>
      <c r="AM13" s="899">
        <f t="shared" si="1"/>
        <v>14602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776</v>
      </c>
      <c r="BD13" s="899">
        <f t="shared" si="1"/>
        <v>3120</v>
      </c>
      <c r="BE13" s="899">
        <f t="shared" si="1"/>
        <v>0</v>
      </c>
      <c r="BF13" s="899">
        <f t="shared" si="1"/>
        <v>0</v>
      </c>
      <c r="BG13" s="899">
        <f>IF(ISNUMBER(Datos!K13/Datos!J13),Datos!K13/Datos!J13," - ")</f>
        <v>0.95892544286548564</v>
      </c>
      <c r="BH13" s="903">
        <f>IF(ISNUMBER(((Datos!L13/Datos!K13)*11)/factor_trimestre),((Datos!L13/Datos!K13)*11)/factor_trimestre," - ")</f>
        <v>5.1124644742184326</v>
      </c>
      <c r="BI13" s="899">
        <f>IF(ISNUMBER('Resol  Asuntos'!D13/NºAsuntos!G13),'Resol  Asuntos'!D13/NºAsuntos!G13," - ")</f>
        <v>0.1476969927674153</v>
      </c>
      <c r="BJ13" s="899" t="str">
        <f>IF(ISNUMBER(Datos!CI13/Datos!CJ13),Datos!CI13/Datos!CJ13," - ")</f>
        <v xml:space="preserve"> - </v>
      </c>
      <c r="BK13" s="899">
        <f>SUBTOTAL(9,BK8:BK12)</f>
        <v>0</v>
      </c>
      <c r="BL13" s="899">
        <f>IF(ISNUMBER((I13-AB13+L13)/(F13)),(I13-AB13+L13)/(F13)," - ")</f>
        <v>-0.16774193548387098</v>
      </c>
      <c r="BM13" s="904">
        <f>SUBTOTAL(9,BM9:BM12)</f>
        <v>0.15163135395833766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2303</v>
      </c>
      <c r="G15" s="598">
        <f>IF(ISNUMBER(IF(D_I="SI",Datos!I15,Datos!I15+Datos!AC15)),IF(D_I="SI",Datos!I15,Datos!I15+Datos!AC15)," - ")</f>
        <v>2235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3543</v>
      </c>
      <c r="AC15" s="226">
        <f>IF(ISNUMBER(Datos!Q15),Datos!Q15," - ")</f>
        <v>60</v>
      </c>
      <c r="AD15" s="334"/>
      <c r="AE15" s="484"/>
      <c r="AF15" s="596">
        <f>IF(ISNUMBER(IF(D_I="SI",Datos!L15,Datos!L15+Datos!AF15)),IF(D_I="SI",Datos!L15,Datos!L15+Datos!AF15)," - ")</f>
        <v>2327</v>
      </c>
      <c r="AG15" s="334"/>
      <c r="AH15" s="334"/>
      <c r="AI15" s="334"/>
      <c r="AJ15" s="334"/>
      <c r="AK15" s="334"/>
      <c r="AL15" s="479"/>
      <c r="AM15" s="335">
        <f>IF(ISNUMBER(Datos!R15),Datos!R15," - ")</f>
        <v>323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187</v>
      </c>
      <c r="BD15" s="229">
        <f>IF(ISNUMBER(Datos!N15),Datos!N15," - ")</f>
        <v>2326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0.99327165685449958</v>
      </c>
      <c r="BH15" s="260">
        <f>IF(ISNUMBER(((IF(D_I="SI",Datos!L15/Datos!K15,(Datos!L15+Datos!AF15)/(Datos!K15+Datos!AE15)))*11)/factor_trimestre),((IF(D_I="SI",Datos!L15/Datos!K15,(Datos!L15+Datos!AF15)/(Datos!K15+Datos!AE15)))*11)/factor_trimestre," - ")</f>
        <v>1.3135760654812305</v>
      </c>
      <c r="BI15" s="243">
        <f>IF(ISNUMBER('Resol  Asuntos'!D15/NºAsuntos!G15),'Resol  Asuntos'!D15/NºAsuntos!G15," - ")</f>
        <v>5.2780129833474458E-2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510</v>
      </c>
      <c r="AC17" s="226">
        <f>IF(ISNUMBER(Datos!Q17),Datos!Q17," - ")</f>
        <v>0</v>
      </c>
      <c r="AD17" s="334"/>
      <c r="AE17" s="484"/>
      <c r="AF17" s="332">
        <f>IF(ISNUMBER(Datos!L17),Datos!L17,"-")</f>
        <v>390</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308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1.0386965376782078</v>
      </c>
      <c r="BH17" s="260">
        <f>IF(ISNUMBER(((IF(D_I="SI",Datos!L17/Datos!K17,(Datos!L17+Datos!AF17)/(Datos!K17+Datos!AE17)))*11)/factor_trimestre),((IF(D_I="SI",Datos!L17/Datos!K17,(Datos!L17+Datos!AF17)/(Datos!K17+Datos!AE17)))*11)/factor_trimestre," - ")</f>
        <v>1.529411764705882</v>
      </c>
      <c r="BI17" s="243">
        <f>IF(ISNUMBER('Resol  Asuntos'!D17/NºAsuntos!G17),'Resol  Asuntos'!D17/NºAsuntos!G17," - ")</f>
        <v>2.3529411764705882E-2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2303</v>
      </c>
      <c r="G18" s="898">
        <f>SUBTOTAL(9,G15:G17)</f>
        <v>2644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4053</v>
      </c>
      <c r="AC18" s="899">
        <f t="shared" si="4"/>
        <v>60</v>
      </c>
      <c r="AD18" s="899">
        <f t="shared" si="4"/>
        <v>0</v>
      </c>
      <c r="AE18" s="899">
        <f t="shared" si="4"/>
        <v>0</v>
      </c>
      <c r="AF18" s="899">
        <f t="shared" si="4"/>
        <v>2717</v>
      </c>
      <c r="AG18" s="899">
        <f t="shared" si="4"/>
        <v>0</v>
      </c>
      <c r="AH18" s="899">
        <f t="shared" si="4"/>
        <v>0</v>
      </c>
      <c r="AI18" s="899">
        <f t="shared" si="4"/>
        <v>0</v>
      </c>
      <c r="AJ18" s="899">
        <f t="shared" si="4"/>
        <v>0</v>
      </c>
      <c r="AK18" s="899">
        <f t="shared" si="4"/>
        <v>0</v>
      </c>
      <c r="AL18" s="899">
        <f t="shared" si="4"/>
        <v>0</v>
      </c>
      <c r="AM18" s="899">
        <f t="shared" si="4"/>
        <v>340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199</v>
      </c>
      <c r="BD18" s="899">
        <f t="shared" si="4"/>
        <v>2634</v>
      </c>
      <c r="BE18" s="899">
        <f t="shared" si="4"/>
        <v>0</v>
      </c>
      <c r="BF18" s="899">
        <f t="shared" si="4"/>
        <v>0</v>
      </c>
      <c r="BG18" s="899">
        <f>IF(ISNUMBER(Datos!K18/Datos!J18),Datos!K18/Datos!J18," - ")</f>
        <v>0.99876786594381473</v>
      </c>
      <c r="BH18" s="903">
        <f>IF(ISNUMBER(((Datos!L18/Datos!K18)*11)/factor_trimestre),((Datos!L18/Datos!K18)*11)/factor_trimestre," - ")</f>
        <v>1.3407352578337035</v>
      </c>
      <c r="BI18" s="899">
        <f>SUBTOTAL(9,BI15:BI17)</f>
        <v>7.6309541598180347E-2</v>
      </c>
      <c r="BJ18" s="899">
        <f>SUBTOTAL(9,BJ15:BJ17)</f>
        <v>0</v>
      </c>
      <c r="BK18" s="899">
        <f>SUBTOTAL(9,BK15:BK17)</f>
        <v>0</v>
      </c>
      <c r="BL18" s="899">
        <f>IF(ISNUMBER((I18-AB18+L18)/(F18)),(I18-AB18+L18)/(F18)," - ")</f>
        <v>-1.7598784194528876</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17</v>
      </c>
      <c r="F19" s="820">
        <f t="shared" si="6"/>
        <v>2458</v>
      </c>
      <c r="G19" s="820">
        <f t="shared" si="6"/>
        <v>2799</v>
      </c>
      <c r="H19" s="822">
        <f t="shared" si="6"/>
        <v>0</v>
      </c>
      <c r="I19" s="820">
        <f t="shared" si="6"/>
        <v>0</v>
      </c>
      <c r="J19" s="822">
        <f t="shared" si="6"/>
        <v>0</v>
      </c>
      <c r="K19" s="822">
        <f t="shared" si="6"/>
        <v>0</v>
      </c>
      <c r="L19" s="881">
        <f t="shared" si="6"/>
        <v>0</v>
      </c>
      <c r="M19" s="881">
        <f t="shared" si="6"/>
        <v>0</v>
      </c>
      <c r="N19" s="881">
        <f t="shared" si="6"/>
        <v>411</v>
      </c>
      <c r="O19" s="881">
        <f t="shared" si="6"/>
        <v>0</v>
      </c>
      <c r="P19" s="881">
        <f t="shared" si="6"/>
        <v>0</v>
      </c>
      <c r="Q19" s="822">
        <f t="shared" si="6"/>
        <v>1048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4079</v>
      </c>
      <c r="AC19" s="821">
        <f t="shared" si="7"/>
        <v>734</v>
      </c>
      <c r="AD19" s="821">
        <f t="shared" si="7"/>
        <v>0</v>
      </c>
      <c r="AE19" s="821">
        <f t="shared" si="7"/>
        <v>0</v>
      </c>
      <c r="AF19" s="828">
        <f t="shared" si="7"/>
        <v>2878</v>
      </c>
      <c r="AG19" s="828">
        <f t="shared" si="7"/>
        <v>0</v>
      </c>
      <c r="AH19" s="828">
        <f t="shared" si="7"/>
        <v>513</v>
      </c>
      <c r="AI19" s="828">
        <f t="shared" si="7"/>
        <v>0</v>
      </c>
      <c r="AJ19" s="821">
        <f t="shared" si="7"/>
        <v>0</v>
      </c>
      <c r="AK19" s="828">
        <f t="shared" si="7"/>
        <v>0</v>
      </c>
      <c r="AL19" s="828">
        <f t="shared" si="7"/>
        <v>0</v>
      </c>
      <c r="AM19" s="828">
        <f t="shared" si="7"/>
        <v>14942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975</v>
      </c>
      <c r="BD19" s="820">
        <f t="shared" si="7"/>
        <v>5754</v>
      </c>
      <c r="BE19" s="820">
        <f t="shared" si="7"/>
        <v>0</v>
      </c>
      <c r="BF19" s="830">
        <f t="shared" si="7"/>
        <v>0</v>
      </c>
      <c r="BG19" s="915">
        <f>IF(ISNUMBER(Datos!K19/Datos!J19),Datos!K19/Datos!J19," - ")</f>
        <v>0.97650897226753675</v>
      </c>
      <c r="BH19" s="915">
        <f>IF(ISNUMBER(((Datos!L19/Datos!K19)*11)/factor_trimestre),((Datos!L19/Datos!K19)*11)/factor_trimestre," - ")</f>
        <v>3.409956565319078</v>
      </c>
      <c r="BI19" s="813">
        <f>IF(ISNUMBER(Datos!J19/Datos!I19),Datos!J19/Datos!I19," - ")</f>
        <v>0.62015242463074116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-1.6594792514239218</v>
      </c>
      <c r="BM19" s="889">
        <f>IF(ISNUMBER((Datos!P19-Datos!Q19+R19)/(Datos!R19-Datos!P19+Datos!Q19-R19)),(Datos!P19-Datos!Q19+R19)/(Datos!R19-Datos!P19+Datos!Q19-R19)," - ")</f>
        <v>2.1465682253213016E-2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1119.5999999999999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3.7342260837346797</v>
      </c>
      <c r="F21" s="551">
        <f>IF(ISNUMBER(STDEV(F8:F18)),STDEV(F8:F18),"-")</f>
        <v>1240.1483782193161</v>
      </c>
      <c r="G21" s="552">
        <f>IF(ISNUMBER(STDEV(G8:G18)),STDEV(G8:G18),"-")</f>
        <v>1217.966666210533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1995.6526000283716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307.63119539629326</v>
      </c>
      <c r="BD21" s="551"/>
      <c r="BE21" s="551">
        <f>IF(ISNUMBER(STDEV(BE8:BE18)),STDEV(BE8:BE18),"-")</f>
        <v>0</v>
      </c>
      <c r="BF21" s="556">
        <f>IF(ISNUMBER(STDEV(BF8:BF18)),STDEV(BF8:BF18),"-")</f>
        <v>0</v>
      </c>
      <c r="BG21" s="775">
        <f>IF(ISNUMBER(STDEV(BG8:BG18)),STDEV(BG8:BG18),"-")</f>
        <v>7.16750940310968E-2</v>
      </c>
      <c r="BH21" s="776">
        <f>IF(ISNUMBER(STDEV(BH8:BH18)),STDEV(BH8:BH18),"-")</f>
        <v>3.9125902761380726</v>
      </c>
      <c r="BI21" s="249">
        <f>IF(ISNUMBER(STDEV(BI8:BI18)),STDEV(BI8:BI18),"-")</f>
        <v>5.3007819436141461E-2</v>
      </c>
      <c r="BJ21" s="230" t="str">
        <f>IF(ISNUMBER(BL21/BM21),BL21/BM21," - ")</f>
        <v xml:space="preserve"> - </v>
      </c>
      <c r="BK21" s="575"/>
      <c r="BL21" s="559">
        <f>IF(ISNUMBER(STDEV(BL8:BL18)),STDEV(BL8:BL18),"-")</f>
        <v>1.1258105043889985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xZVT92SbsI7rAVZir4iE4lurhi0EO0fo+wsvEQ2mkZpM0ddUmyfwaHtZe5GGMc64bKhZ1vtEHmJKkgYZ9mc4A==" saltValue="FHjrpLsF9ES90fzaKsQw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MOSTOLES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863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633</v>
      </c>
      <c r="AA9" s="332" t="str">
        <f>IF(ISNUMBER(IF(J_V="SI",Datos!L9,Datos!L9+Datos!AB9)-IF(Monitorios="SI",Datos!CD9,0)),
                          IF(J_V="SI",Datos!L9,Datos!L9+Datos!AB9)-IF(Monitorios="SI",Datos!CD9,0),
                          " - ")</f>
        <v xml:space="preserve"> - </v>
      </c>
      <c r="AB9" s="334"/>
      <c r="AC9" s="334"/>
      <c r="AD9" s="484"/>
      <c r="AE9" s="484">
        <f>IF(ISNUMBER(Datos!R9),Datos!R9," - ")</f>
        <v>13489</v>
      </c>
      <c r="AF9" s="229" t="str">
        <f>IF(ISNUMBER(Datos!BV9),Datos!BV9," - ")</f>
        <v xml:space="preserve"> - </v>
      </c>
      <c r="AG9" s="225" t="str">
        <f>IF(ISNUMBER(Datos!DV9),Datos!DV9," - ")</f>
        <v xml:space="preserve"> - </v>
      </c>
      <c r="AH9" s="298"/>
      <c r="AI9" s="227"/>
      <c r="AJ9" s="225">
        <f>IF(ISNUMBER(Datos!M9),Datos!M9," - ")</f>
        <v>648</v>
      </c>
      <c r="AK9" s="229">
        <f>IF(ISNUMBER(Datos!N9),Datos!N9," - ")</f>
        <v>2700</v>
      </c>
      <c r="AL9" s="229" t="str">
        <f>IF(ISNUMBER(Datos!BW9),Datos!BW9," - ")</f>
        <v xml:space="preserve"> - </v>
      </c>
      <c r="AM9" s="228" t="str">
        <f>IF(ISNUMBER(Datos!BX9),Datos!BX9," - ")</f>
        <v xml:space="preserve"> - </v>
      </c>
      <c r="AN9" s="243"/>
      <c r="AO9" s="260">
        <f>IF(ISNUMBER(((NºAsuntos!I9/NºAsuntos!G9)*11)/factor_trimestre),((NºAsuntos!I9/NºAsuntos!G9)*11)/factor_trimestre," - ")</f>
        <v>5.058256679807271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1.7346707896523116E-2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155</v>
      </c>
      <c r="G10" s="225">
        <f>IF(ISNUMBER(Datos!I10),Datos!I10," - ")</f>
        <v>155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2</v>
      </c>
      <c r="AA10" s="332">
        <f>IF(ISNUMBER(Datos!L10),Datos!L10,"-")</f>
        <v>161</v>
      </c>
      <c r="AB10" s="334"/>
      <c r="AC10" s="334"/>
      <c r="AD10" s="484"/>
      <c r="AE10" s="484">
        <f>IF(ISNUMBER(Datos!R10),Datos!R10," - ")</f>
        <v>70</v>
      </c>
      <c r="AF10" s="229" t="str">
        <f>IF(ISNUMBER(Datos!BV10),Datos!BV10," - ")</f>
        <v xml:space="preserve"> - </v>
      </c>
      <c r="AG10" s="225" t="str">
        <f>IF(ISNUMBER(Datos!DV10),Datos!DV10," - ")</f>
        <v xml:space="preserve"> - </v>
      </c>
      <c r="AH10" s="298"/>
      <c r="AI10" s="227"/>
      <c r="AJ10" s="225">
        <f>IF(ISNUMBER(Datos!M10),Datos!M10," - ")</f>
        <v>9</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12.384615384615385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2.9411764705882353E-2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138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39</v>
      </c>
      <c r="AA11" s="332" t="str">
        <f>IF(ISNUMBER(IF(J_V="SI",Datos!L11,Datos!L11+Datos!AB11)-IF(Monitorios="SI",Datos!CD11,0)),
                          IF(J_V="SI",Datos!L11,Datos!L11+Datos!AB11)-IF(Monitorios="SI",Datos!CD11,0),
                          " - ")</f>
        <v xml:space="preserve"> - </v>
      </c>
      <c r="AB11" s="334"/>
      <c r="AC11" s="334"/>
      <c r="AD11" s="484"/>
      <c r="AE11" s="484">
        <f>IF(ISNUMBER(Datos!R11),Datos!R11," - ")</f>
        <v>1043</v>
      </c>
      <c r="AF11" s="229" t="str">
        <f>IF(ISNUMBER(Datos!BV11),Datos!BV11," - ")</f>
        <v xml:space="preserve"> - </v>
      </c>
      <c r="AG11" s="225" t="str">
        <f>IF(ISNUMBER(Datos!DV11),Datos!DV11," - ")</f>
        <v xml:space="preserve"> - </v>
      </c>
      <c r="AH11" s="298"/>
      <c r="AI11" s="227"/>
      <c r="AJ11" s="225">
        <f>IF(ISNUMBER(Datos!M11),Datos!M11," - ")</f>
        <v>119</v>
      </c>
      <c r="AK11" s="229">
        <f>IF(ISNUMBER(Datos!N11),Datos!N11," - ")</f>
        <v>408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4.2175226586102719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0.1048728813559322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155</v>
      </c>
      <c r="G13" s="898">
        <f>SUBTOTAL(9,G8:G12)</f>
        <v>155</v>
      </c>
      <c r="H13" s="908"/>
      <c r="I13" s="898">
        <f t="shared" ref="I13:N13" si="0">SUBTOTAL(9,I8:I12)</f>
        <v>0</v>
      </c>
      <c r="J13" s="867">
        <f t="shared" si="0"/>
        <v>0</v>
      </c>
      <c r="K13" s="908">
        <f t="shared" si="0"/>
        <v>0</v>
      </c>
      <c r="L13" s="908">
        <f t="shared" si="0"/>
        <v>0</v>
      </c>
      <c r="M13" s="908">
        <f t="shared" si="0"/>
        <v>0</v>
      </c>
      <c r="N13" s="908">
        <f t="shared" si="0"/>
        <v>1005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674</v>
      </c>
      <c r="AA13" s="900">
        <f t="shared" si="2"/>
        <v>161</v>
      </c>
      <c r="AB13" s="900">
        <f t="shared" si="2"/>
        <v>0</v>
      </c>
      <c r="AC13" s="900">
        <f t="shared" si="2"/>
        <v>0</v>
      </c>
      <c r="AD13" s="900">
        <f t="shared" si="2"/>
        <v>0</v>
      </c>
      <c r="AE13" s="900">
        <f t="shared" si="2"/>
        <v>14602</v>
      </c>
      <c r="AF13" s="908">
        <f t="shared" si="2"/>
        <v>0</v>
      </c>
      <c r="AG13" s="908">
        <f t="shared" si="2"/>
        <v>0</v>
      </c>
      <c r="AH13" s="908">
        <f t="shared" si="2"/>
        <v>0</v>
      </c>
      <c r="AI13" s="908">
        <f t="shared" si="2"/>
        <v>0</v>
      </c>
      <c r="AJ13" s="908">
        <f t="shared" si="2"/>
        <v>776</v>
      </c>
      <c r="AK13" s="908">
        <f t="shared" si="2"/>
        <v>3120</v>
      </c>
      <c r="AL13" s="908">
        <f t="shared" si="2"/>
        <v>0</v>
      </c>
      <c r="AM13" s="908">
        <f t="shared" si="2"/>
        <v>0</v>
      </c>
      <c r="AN13" s="908">
        <f t="shared" si="2"/>
        <v>0</v>
      </c>
      <c r="AO13" s="904">
        <f>IF(ISNUMBER(((NºAsuntos!I13/NºAsuntos!G13)*11)/factor_trimestre),((NºAsuntos!I13/NºAsuntos!G13)*11)/factor_trimestre," - ")</f>
        <v>4.9885801294252001</v>
      </c>
      <c r="AP13" s="910" t="str">
        <f>IF(ISNUMBER(Datos!CI13/Datos!CJ13),Datos!CI13/Datos!CJ13," - ")</f>
        <v xml:space="preserve"> - </v>
      </c>
      <c r="AQ13" s="928">
        <f t="shared" ref="AQ13:AV13" si="3">SUBTOTAL(9,AQ9:AQ12)</f>
        <v>0</v>
      </c>
      <c r="AR13" s="928">
        <f t="shared" si="3"/>
        <v>0.15163135395833766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2303</v>
      </c>
      <c r="G15" s="225">
        <f>IF(ISNUMBER(IF(D_I="SI",Datos!I15,Datos!I15+Datos!AC15)),IF(D_I="SI",Datos!I15,Datos!I15+Datos!AC15)," - ")</f>
        <v>2235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3543</v>
      </c>
      <c r="Z15" s="619">
        <f>IF(ISNUMBER(Datos!Q15),Datos!Q15," - ")</f>
        <v>60</v>
      </c>
      <c r="AA15" s="332">
        <f>IF(ISNUMBER(IF(D_I="SI",Datos!L15,Datos!L15+Datos!AF15)),IF(D_I="SI",Datos!L15,Datos!L15+Datos!AF15)," - ")</f>
        <v>2327</v>
      </c>
      <c r="AB15" s="334"/>
      <c r="AC15" s="334"/>
      <c r="AD15" s="484"/>
      <c r="AE15" s="484">
        <f>IF(ISNUMBER(Datos!R15),Datos!R15," - ")</f>
        <v>323</v>
      </c>
      <c r="AF15" s="229" t="str">
        <f>IF(ISNUMBER(Datos!BV15),Datos!BV15," - ")</f>
        <v xml:space="preserve"> - </v>
      </c>
      <c r="AG15" s="225"/>
      <c r="AH15" s="298"/>
      <c r="AI15" s="227"/>
      <c r="AJ15" s="225">
        <f>IF(ISNUMBER(Datos!M15),Datos!M15," - ")</f>
        <v>187</v>
      </c>
      <c r="AK15" s="229">
        <f>IF(ISNUMBER(Datos!N15),Datos!N15," - ")</f>
        <v>2326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1.3135760654812305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510</v>
      </c>
      <c r="Z17" s="619">
        <f>IF(ISNUMBER(Datos!Q17),Datos!Q17," - ")</f>
        <v>0</v>
      </c>
      <c r="AA17" s="332">
        <f>IF(ISNUMBER(Datos!L17),Datos!L17,"-")</f>
        <v>390</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12</v>
      </c>
      <c r="AK17" s="229">
        <f>IF(ISNUMBER(Datos!N17),Datos!N17," - ")</f>
        <v>308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1.529411764705882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2303</v>
      </c>
      <c r="G18" s="898">
        <f>SUBTOTAL(9,G15:G17)</f>
        <v>2644</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4053</v>
      </c>
      <c r="Z18" s="932">
        <f t="shared" si="5"/>
        <v>60</v>
      </c>
      <c r="AA18" s="932">
        <f t="shared" si="5"/>
        <v>2717</v>
      </c>
      <c r="AB18" s="932">
        <f t="shared" si="5"/>
        <v>0</v>
      </c>
      <c r="AC18" s="932">
        <f t="shared" si="5"/>
        <v>0</v>
      </c>
      <c r="AD18" s="932">
        <f t="shared" si="5"/>
        <v>0</v>
      </c>
      <c r="AE18" s="932">
        <f t="shared" si="5"/>
        <v>340</v>
      </c>
      <c r="AF18" s="932">
        <f t="shared" si="5"/>
        <v>0</v>
      </c>
      <c r="AG18" s="932">
        <f t="shared" si="5"/>
        <v>0</v>
      </c>
      <c r="AH18" s="932">
        <f t="shared" si="5"/>
        <v>0</v>
      </c>
      <c r="AI18" s="932">
        <f t="shared" si="5"/>
        <v>0</v>
      </c>
      <c r="AJ18" s="932">
        <f t="shared" si="5"/>
        <v>199</v>
      </c>
      <c r="AK18" s="932">
        <f t="shared" si="5"/>
        <v>2634</v>
      </c>
      <c r="AL18" s="932">
        <f t="shared" si="5"/>
        <v>0</v>
      </c>
      <c r="AM18" s="932">
        <f t="shared" si="5"/>
        <v>0</v>
      </c>
      <c r="AN18" s="932">
        <f t="shared" si="5"/>
        <v>0</v>
      </c>
      <c r="AO18" s="934">
        <f>IF(ISNUMBER(((NºAsuntos!I18/NºAsuntos!G18)*11)/factor_trimestre),((NºAsuntos!I18/NºAsuntos!G18)*11)/factor_trimestre," - ")</f>
        <v>1.3407352578337035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2458</v>
      </c>
      <c r="G19" s="820">
        <f t="shared" si="7"/>
        <v>2799</v>
      </c>
      <c r="H19" s="821">
        <f t="shared" si="7"/>
        <v>0</v>
      </c>
      <c r="I19" s="820">
        <f t="shared" si="7"/>
        <v>0</v>
      </c>
      <c r="J19" s="822">
        <f t="shared" si="7"/>
        <v>0</v>
      </c>
      <c r="K19" s="820">
        <f t="shared" si="7"/>
        <v>0</v>
      </c>
      <c r="L19" s="823">
        <f t="shared" si="7"/>
        <v>0</v>
      </c>
      <c r="M19" s="820">
        <f t="shared" si="7"/>
        <v>0</v>
      </c>
      <c r="N19" s="821">
        <f t="shared" si="7"/>
        <v>1048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4079</v>
      </c>
      <c r="Z19" s="827">
        <f t="shared" si="8"/>
        <v>734</v>
      </c>
      <c r="AA19" s="828">
        <f t="shared" si="8"/>
        <v>2878</v>
      </c>
      <c r="AB19" s="828">
        <f t="shared" si="8"/>
        <v>0</v>
      </c>
      <c r="AC19" s="828">
        <f t="shared" si="8"/>
        <v>0</v>
      </c>
      <c r="AD19" s="829">
        <f t="shared" si="8"/>
        <v>0</v>
      </c>
      <c r="AE19" s="829">
        <f t="shared" si="8"/>
        <v>14942</v>
      </c>
      <c r="AF19" s="830">
        <f t="shared" si="8"/>
        <v>0</v>
      </c>
      <c r="AG19" s="831">
        <f t="shared" si="8"/>
        <v>0</v>
      </c>
      <c r="AH19" s="832">
        <f t="shared" si="8"/>
        <v>0</v>
      </c>
      <c r="AI19" s="830">
        <f t="shared" si="8"/>
        <v>0</v>
      </c>
      <c r="AJ19" s="820">
        <f t="shared" si="8"/>
        <v>975</v>
      </c>
      <c r="AK19" s="820">
        <f t="shared" si="8"/>
        <v>5754</v>
      </c>
      <c r="AL19" s="820">
        <f t="shared" si="8"/>
        <v>0</v>
      </c>
      <c r="AM19" s="833">
        <f t="shared" si="8"/>
        <v>0</v>
      </c>
      <c r="AN19" s="823">
        <f>IF(ISNUMBER(Datos!K19/Datos!J19),Datos!K19/Datos!J19," - ")</f>
        <v>0.97650897226753675</v>
      </c>
      <c r="AO19" s="823">
        <f>IF(ISNUMBER(FIND("06",Criterios!A8,1)),(IF(ISNUMBER(((Datos!R19/Datos!Q19)*11)/factor_trimestre),((Datos!R19/Datos!Q19)*11)/factor_trimestre," - ")),(IF(ISNUMBER(((Datos!L19/Datos!K19)*11)/factor_trimestre),((Datos!L19/Datos!K19)*11)/factor_trimestre," - ")))</f>
        <v>3.409956565319078</v>
      </c>
      <c r="AP19" s="834" t="str">
        <f>IF(ISNUMBER(Datos!CI19/Datos!CJ19),Datos!CI19/Datos!CJ19," - ")</f>
        <v xml:space="preserve"> - </v>
      </c>
      <c r="AQ19" s="834">
        <f>IF(OR(ISNUMBER(FIND("01",Criterios!A8,1)),ISNUMBER(FIND("02",Criterios!A8,1)),ISNUMBER(FIND("03",Criterios!A8,1)),ISNUMBER(FIND("04",Criterios!A8,1))),(J19-Y19+K19)/(F19-K19),(I19-Y19+K19)/(F19-K19))</f>
        <v>-1.6594792514239218</v>
      </c>
      <c r="AR19" s="834">
        <f>IF(ISNUMBER((Datos!P19-Datos!Q19+O19)/(Datos!R19-Datos!P19+Datos!Q19-O19)),(Datos!P19-Datos!Q19+O19)/(Datos!R19-Datos!P19+Datos!Q19-O19)," - ")</f>
        <v>2.1465682253213016E-2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1119.5999999999999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1240.1483782193161</v>
      </c>
      <c r="G21" s="552">
        <f>IF(ISNUMBER(STDEV(G8:G18)),STDEV(G8:G18),"-")</f>
        <v>1217.966666210533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307.63119539629326</v>
      </c>
      <c r="AK21" s="252"/>
      <c r="AL21" s="252">
        <f>IF(ISNUMBER(STDEV(AL8:AL18)),STDEV(AL8:AL18),"-")</f>
        <v>0</v>
      </c>
      <c r="AM21" s="254">
        <f>IF(ISNUMBER(STDEV(AM8:AM18)),STDEV(AM8:AM18),"-")</f>
        <v>0</v>
      </c>
      <c r="AN21" s="539">
        <f>IF(ISNUMBER(STDEV(AN8:AN18)),STDEV(AN8:AN18),"-")</f>
        <v>0</v>
      </c>
      <c r="AO21" s="540">
        <f>IF(ISNUMBER(STDEV(AO8:AO18)),STDEV(AO8:AO18),"-")</f>
        <v>3.9092272636244991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2fB5Wy5RE222JxM42ww/D95RyO91BunyCR3gUmonz4RX3ect40ljOrJYOjORh9iackMvuvy+jeikvp/9JE/pw==" saltValue="+HqDEnpNW8TgvYKOwqFX0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4N0WIlA7FjoWEazic0bPB053U8cXmF5iiLGsDYrwCuChssE6nxDmN/uSsO1f4S/LkASbc+5cInaakzV0Iu7/w==" saltValue="kl3O31NQMLRPqACMkmro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d4RGmzVfS/d+4+MnTYrFGOC/ggCXlAnI3kiQGPNMB7RiwtXkpHMpNifBAXW+t9bvRj8OWcDokfvLJMoaJaPQ==" saltValue="4m4tIm2KiOFRwzzCpaQU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0.1476969927674153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0.10443754514669981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K72u61Ykojc3yK+xQ5VGxnLYT21ozyNUbUj2zCGF+Vfoe6iPjOVX7xs1LTDUKxlB8GAn2NuUBsxvFPrt1YhDw==" saltValue="wZJYcW4KS+mkvcNSjpmS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LaM31PKtIfXlHxvQyxLdyuTNXWtrZRsx6C6wMXAV2ko+6ivE7D7TyoA3V4tpIQs4/LqDBETGpe9n/R5o3cFPQ==" saltValue="dev5EmQIT/OHLHoVWCET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MOSTOLES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11100</v>
      </c>
      <c r="D9" s="404">
        <f>IF(ISNUMBER(C9/Datos!BH9),C9/Datos!BH9," - ")</f>
        <v>1585.7142857142858</v>
      </c>
      <c r="E9" s="403">
        <f>IF(ISNUMBER(IF(J_V="SI",Datos!J9,Datos!J9+Datos!Z9)),IF(J_V="SI",Datos!J9,Datos!J9+Datos!Z9)," - ")</f>
        <v>4816</v>
      </c>
      <c r="F9" s="404">
        <f>IF(ISNUMBER(E9/B9),E9/B9," - ")</f>
        <v>688</v>
      </c>
      <c r="G9" s="403">
        <f>IF(ISNUMBER(IF(J_V="SI",Datos!K9,Datos!K9+Datos!AA9)),IF(J_V="SI",Datos!K9,Datos!K9+Datos!AA9)," - ")</f>
        <v>4566</v>
      </c>
      <c r="H9" s="404">
        <f>IF(ISNUMBER(G9/B9),G9/B9," - ")</f>
        <v>652.28571428571433</v>
      </c>
      <c r="I9" s="403">
        <f>IF(ISNUMBER(IF(J_V="SI",Datos!L9,Datos!L9+Datos!AB9)),IF(J_V="SI",Datos!L9,Datos!L9+Datos!AB9)," - ")</f>
        <v>11548</v>
      </c>
      <c r="J9" s="404">
        <f>IF(ISNUMBER(I9/B9),I9/B9," - ")</f>
        <v>1649.7142857142858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155</v>
      </c>
      <c r="D10" s="404">
        <f>IF(ISNUMBER(C10/Datos!BH10),C10/Datos!BH10," - ")</f>
        <v>155</v>
      </c>
      <c r="E10" s="403">
        <f>IF(ISNUMBER(Datos!J10),Datos!J10," - ")</f>
        <v>32</v>
      </c>
      <c r="F10" s="404">
        <f>IF(ISNUMBER(E10/B10),E10/B10," - ")</f>
        <v>32</v>
      </c>
      <c r="G10" s="403">
        <f>IF(ISNUMBER(Datos!K10),Datos!K10," - ")</f>
        <v>26</v>
      </c>
      <c r="H10" s="404">
        <f>IF(ISNUMBER(G10/B10),G10/B10," - ")</f>
        <v>26</v>
      </c>
      <c r="I10" s="403">
        <f>IF(ISNUMBER(Datos!L10),Datos!L10," - ")</f>
        <v>161</v>
      </c>
      <c r="J10" s="404">
        <f>IF(ISNUMBER(I10/B10),I10/B10," - ")</f>
        <v>161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1358</v>
      </c>
      <c r="D11" s="404">
        <f>IF(ISNUMBER(C11/Datos!BH11),C11/Datos!BH11," - ")</f>
        <v>679</v>
      </c>
      <c r="E11" s="403">
        <f>IF(ISNUMBER(IF(J_V="SI",Datos!J11,Datos!J11+Datos!Z11)),IF(J_V="SI",Datos!J11,Datos!J11+Datos!Z11)," - ")</f>
        <v>700</v>
      </c>
      <c r="F11" s="404">
        <f>IF(ISNUMBER(E11/B11),E11/B11," - ")</f>
        <v>350</v>
      </c>
      <c r="G11" s="403">
        <f>IF(ISNUMBER(IF(J_V="SI",Datos!K11,Datos!K11+Datos!AA11)),IF(J_V="SI",Datos!K11,Datos!K11+Datos!AA11)," - ")</f>
        <v>662</v>
      </c>
      <c r="H11" s="404">
        <f>IF(ISNUMBER(G11/B11),G11/B11," - ")</f>
        <v>331</v>
      </c>
      <c r="I11" s="403">
        <f>IF(ISNUMBER(IF(J_V="SI",Datos!L11,Datos!L11+Datos!AB11)),IF(J_V="SI",Datos!L11,Datos!L11+Datos!AB11)," - ")</f>
        <v>1396</v>
      </c>
      <c r="J11" s="404">
        <f>IF(ISNUMBER(I11/B11),I11/B11," - ")</f>
        <v>698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12613</v>
      </c>
      <c r="D13" s="850" t="str">
        <f>IF(ISNUMBER(C13/Datos!BI13),C13/Datos!BI13," - ")</f>
        <v xml:space="preserve"> - </v>
      </c>
      <c r="E13" s="849">
        <f>SUBTOTAL(9,E8:E12)</f>
        <v>5548</v>
      </c>
      <c r="F13" s="850">
        <f>IF(ISNUMBER(E13/B13),E13/B13," - ")</f>
        <v>554.79999999999995</v>
      </c>
      <c r="G13" s="849">
        <f>SUBTOTAL(9,G8:G12)</f>
        <v>5254</v>
      </c>
      <c r="H13" s="850">
        <f>IF(ISNUMBER(G13/B13),G13/B13," - ")</f>
        <v>525.4</v>
      </c>
      <c r="I13" s="849">
        <f>SUBTOTAL(9,I8:I12)</f>
        <v>13105</v>
      </c>
      <c r="J13" s="850">
        <f>IF(ISNUMBER(I13/B13),I13/B13," - ")</f>
        <v>1310.5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2235</v>
      </c>
      <c r="D15" s="404">
        <f>IF(ISNUMBER(C15/Datos!BH15),C15/Datos!BH15," - ")</f>
        <v>372.5</v>
      </c>
      <c r="E15" s="403">
        <f>IF(ISNUMBER(IF(D_I="SI",Datos!J15,Datos!J15+Datos!AD15)),IF(D_I="SI",Datos!J15,Datos!J15+Datos!AD15)," - ")</f>
        <v>3567</v>
      </c>
      <c r="F15" s="404">
        <f>IF(ISNUMBER(E15/B15),E15/B15," - ")</f>
        <v>594.5</v>
      </c>
      <c r="G15" s="403">
        <f>IF(ISNUMBER(IF(D_I="SI",Datos!K15,Datos!K15+Datos!AE15)),IF(D_I="SI",Datos!K15,Datos!K15+Datos!AE15)," - ")</f>
        <v>3543</v>
      </c>
      <c r="H15" s="404">
        <f>IF(ISNUMBER(G15/B15),G15/B15," - ")</f>
        <v>590.5</v>
      </c>
      <c r="I15" s="403">
        <f>IF(ISNUMBER(IF(D_I="SI",Datos!L15,Datos!L15+Datos!AF15)),IF(D_I="SI",Datos!L15,Datos!L15+Datos!AF15)," - ")</f>
        <v>2327</v>
      </c>
      <c r="J15" s="404">
        <f>IF(ISNUMBER(I15/B15),I15/B15," - ")</f>
        <v>387.83333333333331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409</v>
      </c>
      <c r="D17" s="404">
        <f>IF(ISNUMBER(C17/Datos!BH17),C17/Datos!BH17," - ")</f>
        <v>409</v>
      </c>
      <c r="E17" s="403">
        <f>IF(ISNUMBER(IF(D_I="SI",Datos!J17,Datos!J17+Datos!AD17)),IF(D_I="SI",Datos!J17,Datos!J17+Datos!AD17)," - ")</f>
        <v>491</v>
      </c>
      <c r="F17" s="404">
        <f>IF(ISNUMBER(E17/B17),E17/B17," - ")</f>
        <v>491</v>
      </c>
      <c r="G17" s="403">
        <f>IF(ISNUMBER(IF(D_I="SI",Datos!K17,Datos!K17+Datos!AE17)),IF(D_I="SI",Datos!K17,Datos!K17+Datos!AE17)," - ")</f>
        <v>510</v>
      </c>
      <c r="H17" s="404">
        <f>IF(ISNUMBER(G17/B17),G17/B17," - ")</f>
        <v>510</v>
      </c>
      <c r="I17" s="403">
        <f>IF(ISNUMBER(IF(D_I="SI",Datos!L17,Datos!L17+Datos!AF17)),IF(D_I="SI",Datos!L17,Datos!L17+Datos!AF17)," - ")</f>
        <v>390</v>
      </c>
      <c r="J17" s="404">
        <f>IF(ISNUMBER(I17/B17),I17/B17," - ")</f>
        <v>390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2644</v>
      </c>
      <c r="D18" s="850" t="str">
        <f>IF(ISNUMBER(C18/Datos!BI18),C18/Datos!BI18," - ")</f>
        <v xml:space="preserve"> - </v>
      </c>
      <c r="E18" s="849">
        <f>SUBTOTAL(9,E14:E17)</f>
        <v>4058</v>
      </c>
      <c r="F18" s="850">
        <f>IF(ISNUMBER(E18/B18),E18/B18," - ")</f>
        <v>579.71428571428567</v>
      </c>
      <c r="G18" s="849">
        <f>SUBTOTAL(9,G14:G17)</f>
        <v>4053</v>
      </c>
      <c r="H18" s="850">
        <f>IF(ISNUMBER(G18/B18),G18/B18," - ")</f>
        <v>579</v>
      </c>
      <c r="I18" s="849">
        <f>SUBTOTAL(9,I14:I17)</f>
        <v>2717</v>
      </c>
      <c r="J18" s="850">
        <f>IF(ISNUMBER(I18/B18),I18/B18," - ")</f>
        <v>388.14285714285717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15257</v>
      </c>
      <c r="D19" s="795" t="str">
        <f>IF(ISNUMBER(C19/Datos!BI19),C19/Datos!BI19," - ")</f>
        <v xml:space="preserve"> - </v>
      </c>
      <c r="E19" s="794">
        <f>SUBTOTAL(9,E9:E18)</f>
        <v>9606</v>
      </c>
      <c r="F19" s="795">
        <f>IF(ISNUMBER(E19/B19),E19/B19," - ")</f>
        <v>600.375</v>
      </c>
      <c r="G19" s="794">
        <f>SUBTOTAL(9,G9:G18)</f>
        <v>9307</v>
      </c>
      <c r="H19" s="795">
        <f>IF(ISNUMBER(G19/B19),G19/B19," - ")</f>
        <v>581.6875</v>
      </c>
      <c r="I19" s="794">
        <f>SUBTOTAL(9,I9:I18)</f>
        <v>15822</v>
      </c>
      <c r="J19" s="795">
        <f>IF(ISNUMBER(I19/B19),I19/B19," - ")</f>
        <v>988.875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zSxJAZIqA3RnuEJ+zQezhgMnHIjJT3LwoRgfarfQE8yPjcDnQbNOItpw17V+iBw7RcqwdmvfLHPQD+k15kRw==" saltValue="gQMl4wpGDfPswkxb/wd+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MOSTOLES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155</v>
      </c>
      <c r="G10" s="684">
        <f>IF(ISNUMBER(Datos!I10),Datos!I10," - ")</f>
        <v>155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161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12.384615384615385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155</v>
      </c>
      <c r="G13" s="938">
        <f t="shared" si="0"/>
        <v>155</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0</v>
      </c>
      <c r="AE13" s="939">
        <f t="shared" si="1"/>
        <v>0</v>
      </c>
      <c r="AF13" s="939">
        <f t="shared" si="1"/>
        <v>161</v>
      </c>
      <c r="AG13" s="939">
        <f t="shared" si="1"/>
        <v>0</v>
      </c>
      <c r="AH13" s="939">
        <f t="shared" si="1"/>
        <v>0</v>
      </c>
      <c r="AI13" s="939">
        <f t="shared" si="1"/>
        <v>0</v>
      </c>
      <c r="AJ13" s="939">
        <f t="shared" si="1"/>
        <v>0</v>
      </c>
      <c r="AK13" s="939">
        <f t="shared" si="1"/>
        <v>0</v>
      </c>
      <c r="AL13" s="939">
        <f t="shared" si="1"/>
        <v>9</v>
      </c>
      <c r="AM13" s="939">
        <f t="shared" si="1"/>
        <v>12</v>
      </c>
      <c r="AN13" s="939">
        <f t="shared" si="1"/>
        <v>0</v>
      </c>
      <c r="AO13" s="939">
        <f t="shared" si="1"/>
        <v>0</v>
      </c>
      <c r="AP13" s="944">
        <f>IF(ISNUMBER(((Datos!L13/Datos!K13)*11)/factor_trimestre),((Datos!L13/Datos!K13)*11)/factor_trimestre," - ")</f>
        <v>5.1124644742184326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-0.16774193548387098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1.3407352578337035</v>
      </c>
      <c r="AQ18" s="944">
        <f>IF(ISNUMBER(((Datos!M18/Datos!L18)*11)/factor_trimestre),((Datos!M18/Datos!L18)*11)/factor_trimestre," - ")</f>
        <v>0.14648509385351491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-9.2044707429322817E-2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155</v>
      </c>
      <c r="G19" s="951">
        <f t="shared" si="4"/>
        <v>155</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0</v>
      </c>
      <c r="AE19" s="957">
        <f t="shared" si="5"/>
        <v>0</v>
      </c>
      <c r="AF19" s="958">
        <f t="shared" si="5"/>
        <v>161</v>
      </c>
      <c r="AG19" s="958">
        <f t="shared" si="5"/>
        <v>0</v>
      </c>
      <c r="AH19" s="958">
        <f t="shared" si="5"/>
        <v>0</v>
      </c>
      <c r="AI19" s="958">
        <f t="shared" si="5"/>
        <v>0</v>
      </c>
      <c r="AJ19" s="959">
        <f t="shared" si="5"/>
        <v>0</v>
      </c>
      <c r="AK19" s="959">
        <f t="shared" si="5"/>
        <v>0</v>
      </c>
      <c r="AL19" s="951">
        <f t="shared" si="5"/>
        <v>9</v>
      </c>
      <c r="AM19" s="951">
        <f t="shared" si="5"/>
        <v>12</v>
      </c>
      <c r="AN19" s="951">
        <f t="shared" si="5"/>
        <v>0</v>
      </c>
      <c r="AO19" s="951">
        <f t="shared" si="5"/>
        <v>0</v>
      </c>
      <c r="AP19" s="951">
        <f>IF(ISNUMBER(((Datos!L19/Datos!K19)*11)/factor_trimestre),((Datos!L19/Datos!K19)*11)/factor_trimestre," - ")</f>
        <v>3.409956565319078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-0.16774193548387098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2.1465682253213016E-2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89.489291724392004</v>
      </c>
      <c r="G21" s="737">
        <f>IF(ISNUMBER(STDEV(G8:G18)),STDEV(G8:G18),"-")</f>
        <v>89.489291724392004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5.6136353105636267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5u1W5aDZ26zWm7ici3lm+detxtELKG/TDn8ooTnFua/URnKVMChuDhwWovTlyGGjPOLy1JbZbaHiWgWchhoOtg==" saltValue="2rwPAQ3A31haBGrTSRzJ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MOSTOLES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GeybTKsAtBxb2fQVcN/I4GYLo/8iX/iUrO2IDsqkLk5oDRcXjJ96u/kQ7kxfLi7Z+ploxxPyqBR5wG75Aa3ZA==" saltValue="FYOg6KYzX3+KfS4HjPJ27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MOSTOLES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648</v>
      </c>
      <c r="E9" s="404">
        <f t="shared" ref="E9:E13" si="0">IF(ISNUMBER(D9/B9),D9/B9," - ")</f>
        <v>92.571428571428569</v>
      </c>
      <c r="F9" s="403">
        <f>IF(ISNUMBER(Datos!N9),Datos!N9," - ")</f>
        <v>2700</v>
      </c>
      <c r="G9" s="404">
        <f t="shared" ref="G9:G13" si="1">IF(ISNUMBER(F9/B9),F9/B9," - ")</f>
        <v>385.71428571428572</v>
      </c>
      <c r="H9" s="403">
        <f>IF(ISNUMBER(Datos!O9),Datos!O9," - ")</f>
        <v>1246</v>
      </c>
      <c r="I9" s="404">
        <f>IF(ISNUMBER(H9/B9),H9/B9," - ")</f>
        <v>178</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12</v>
      </c>
      <c r="G10" s="404">
        <f>IF(ISNUMBER(F10/B10),F10/B10," - ")</f>
        <v>12</v>
      </c>
      <c r="H10" s="403">
        <f>IF(ISNUMBER(Datos!O10),Datos!O10," - ")</f>
        <v>6</v>
      </c>
      <c r="I10" s="404">
        <f t="shared" ref="I10:I12" si="2">IF(ISNUMBER(H10/B10),H10/B10," - ")</f>
        <v>6</v>
      </c>
      <c r="BZ10" s="1186">
        <f>Datos!EZ10</f>
        <v>0</v>
      </c>
    </row>
    <row r="11" spans="1:78">
      <c r="A11" s="402" t="str">
        <f>Datos!A11</f>
        <v xml:space="preserve">Jdos. Familia                                   </v>
      </c>
      <c r="B11" s="427">
        <f>Datos!AO11</f>
        <v>2</v>
      </c>
      <c r="C11" s="410">
        <f>Datos!AQ11</f>
        <v>2</v>
      </c>
      <c r="D11" s="403">
        <f>IF(ISNUMBER(Datos!M11),Datos!M11," - ")</f>
        <v>119</v>
      </c>
      <c r="E11" s="404">
        <f t="shared" si="0"/>
        <v>59.5</v>
      </c>
      <c r="F11" s="403">
        <f>IF(ISNUMBER(Datos!N11),Datos!N11," - ")</f>
        <v>408</v>
      </c>
      <c r="G11" s="404">
        <f t="shared" si="1"/>
        <v>204</v>
      </c>
      <c r="H11" s="403">
        <f>IF(ISNUMBER(Datos!O11),Datos!O11," - ")</f>
        <v>83</v>
      </c>
      <c r="I11" s="404">
        <f t="shared" si="2"/>
        <v>41.5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776</v>
      </c>
      <c r="E13" s="850">
        <f t="shared" si="0"/>
        <v>77.599999999999994</v>
      </c>
      <c r="F13" s="849">
        <f>SUBTOTAL(9,F9:F12)</f>
        <v>3120</v>
      </c>
      <c r="G13" s="850">
        <f t="shared" si="1"/>
        <v>312</v>
      </c>
      <c r="H13" s="849">
        <f>SUBTOTAL(9,H9:H12)</f>
        <v>1335</v>
      </c>
      <c r="I13" s="850">
        <f>IF(ISNUMBER(H13/B13),H13/B13," - ")</f>
        <v>133.5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187</v>
      </c>
      <c r="E15" s="404">
        <f t="shared" ref="E15:E18" si="3">IF(ISNUMBER(D15/B15),D15/B15," - ")</f>
        <v>31.166666666666668</v>
      </c>
      <c r="F15" s="403">
        <f>IF(ISNUMBER(Datos!N15),Datos!N15," - ")</f>
        <v>2326</v>
      </c>
      <c r="G15" s="404">
        <f t="shared" ref="G15:G18" si="4">IF(ISNUMBER(F15/B15),F15/B15," - ")</f>
        <v>387.66666666666669</v>
      </c>
      <c r="H15" s="403">
        <f>IF(ISNUMBER(Datos!O15),Datos!O15," - ")</f>
        <v>21</v>
      </c>
      <c r="I15" s="404">
        <f t="shared" ref="I15:I17" si="5">IF(ISNUMBER(H15/B15),H15/B15," - ")</f>
        <v>3.5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12</v>
      </c>
      <c r="E17" s="404">
        <f>IF(ISNUMBER(D17/B17),D17/B17," - ")</f>
        <v>12</v>
      </c>
      <c r="F17" s="403">
        <f>IF(ISNUMBER(Datos!N17),Datos!N17," - ")</f>
        <v>308</v>
      </c>
      <c r="G17" s="404">
        <f>IF(ISNUMBER(F17/B17),F17/B17," - ")</f>
        <v>308</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199</v>
      </c>
      <c r="E18" s="850">
        <f t="shared" si="3"/>
        <v>28.428571428571427</v>
      </c>
      <c r="F18" s="849">
        <f>SUBTOTAL(9,F15:F17)</f>
        <v>2634</v>
      </c>
      <c r="G18" s="850">
        <f t="shared" si="4"/>
        <v>376.28571428571428</v>
      </c>
      <c r="H18" s="849">
        <f>SUBTOTAL(9,H15:H17)</f>
        <v>21</v>
      </c>
      <c r="I18" s="850">
        <f>IF(ISNUMBER(H18/B18),H18/B18," - ")</f>
        <v>3</v>
      </c>
      <c r="BZ18" s="1186"/>
    </row>
    <row r="19" spans="1:78" ht="14.25" thickTop="1" thickBot="1">
      <c r="A19" s="793" t="str">
        <f>Datos!A19</f>
        <v>TOTAL JURISDICCIONES</v>
      </c>
      <c r="B19" s="794">
        <f>Datos!AP19</f>
        <v>16</v>
      </c>
      <c r="C19" s="794">
        <f>Datos!AR19</f>
        <v>16</v>
      </c>
      <c r="D19" s="794">
        <f>SUBTOTAL(9,D8:D18)</f>
        <v>975</v>
      </c>
      <c r="E19" s="795">
        <f>IF(ISNUMBER(D19/B19),D19/B19," - ")</f>
        <v>60.9375</v>
      </c>
      <c r="F19" s="794">
        <f>SUBTOTAL(9,F8:F18)</f>
        <v>5754</v>
      </c>
      <c r="G19" s="795">
        <f>IF(ISNUMBER(F19/B19),F19/B19," - ")</f>
        <v>359.625</v>
      </c>
      <c r="H19" s="794">
        <f>SUBTOTAL(9,H8:H18)</f>
        <v>1356</v>
      </c>
      <c r="I19" s="795">
        <f>IF(ISNUMBER(H19/B19),H19/B19," - ")</f>
        <v>84.75</v>
      </c>
    </row>
    <row r="22" spans="1:78">
      <c r="A22" s="391" t="str">
        <f>Criterios!A4</f>
        <v>Fecha Informe: 29 nov. 2024</v>
      </c>
    </row>
    <row r="27" spans="1:78">
      <c r="A27" s="414"/>
    </row>
  </sheetData>
  <sheetProtection algorithmName="SHA-512" hashValue="CbkK5T7IUcBamvrV/NEHsTgxv6//v1FJ2e4sHcl3Ifws5vCjEH8YCZJnS8SmQSiL0JmgybT7X1Era0hxIMzUng==" saltValue="EoOqikjs3mtkuHVC3BHc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MOSTOLES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863</v>
      </c>
      <c r="C9" s="434">
        <f>IF(ISNUMBER(Datos!Q9),Datos!Q9," - ")</f>
        <v>633</v>
      </c>
      <c r="D9" s="408">
        <f>IF(ISNUMBER(Datos!R9),Datos!R9," - ")</f>
        <v>13489</v>
      </c>
    </row>
    <row r="10" spans="1:4">
      <c r="A10" s="402" t="str">
        <f>Datos!A10</f>
        <v>Jdos. Violencia contra la mujer</v>
      </c>
      <c r="B10" s="433">
        <f>IF(ISNUMBER(Datos!P10),Datos!P10," - ")</f>
        <v>4</v>
      </c>
      <c r="C10" s="434">
        <f>IF(ISNUMBER(Datos!Q10),Datos!Q10," - ")</f>
        <v>2</v>
      </c>
      <c r="D10" s="408">
        <f>IF(ISNUMBER(Datos!R10),Datos!R10," - ")</f>
        <v>70</v>
      </c>
    </row>
    <row r="11" spans="1:4">
      <c r="A11" s="402" t="str">
        <f>Datos!A11</f>
        <v xml:space="preserve">Jdos. Familia                                   </v>
      </c>
      <c r="B11" s="433">
        <f>IF(ISNUMBER(Datos!P11),Datos!P11," - ")</f>
        <v>138</v>
      </c>
      <c r="C11" s="434">
        <f>IF(ISNUMBER(Datos!Q11),Datos!Q11," - ")</f>
        <v>39</v>
      </c>
      <c r="D11" s="408">
        <f>IF(ISNUMBER(Datos!R11),Datos!R11," - ")</f>
        <v>1043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1005</v>
      </c>
      <c r="C13" s="853">
        <f>SUBTOTAL(9,C9:C12)</f>
        <v>674</v>
      </c>
      <c r="D13" s="851">
        <f>SUBTOTAL(9,D9:D12)</f>
        <v>14602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43</v>
      </c>
      <c r="C15" s="434">
        <f>IF(ISNUMBER(Datos!Q15),Datos!Q15," - ")</f>
        <v>60</v>
      </c>
      <c r="D15" s="408">
        <f>IF(ISNUMBER(Datos!R15),Datos!R15," - ")</f>
        <v>323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17</v>
      </c>
    </row>
    <row r="18" spans="1:4" ht="14.25" thickTop="1" thickBot="1">
      <c r="A18" s="848" t="str">
        <f>Datos!A18</f>
        <v>TOTAL</v>
      </c>
      <c r="B18" s="849">
        <f>SUBTOTAL(9,B15:B17)</f>
        <v>43</v>
      </c>
      <c r="C18" s="853">
        <f>SUBTOTAL(9,C15:C17)</f>
        <v>60</v>
      </c>
      <c r="D18" s="851">
        <f>SUBTOTAL(9,D15:D17)</f>
        <v>340</v>
      </c>
    </row>
    <row r="19" spans="1:4" ht="16.5" customHeight="1" thickTop="1" thickBot="1">
      <c r="A19" s="793" t="str">
        <f>Datos!A19</f>
        <v>TOTAL JURISDICCIONES</v>
      </c>
      <c r="B19" s="798">
        <f>SUBTOTAL(9,B8:B18)</f>
        <v>1048</v>
      </c>
      <c r="C19" s="799">
        <f>SUBTOTAL(9,C8:C18)</f>
        <v>734</v>
      </c>
      <c r="D19" s="800">
        <f>SUBTOTAL(9,D8:D18)</f>
        <v>14942</v>
      </c>
    </row>
    <row r="20" spans="1:4" ht="7.5" customHeight="1"/>
    <row r="21" spans="1:4" ht="6" customHeight="1"/>
    <row r="22" spans="1:4">
      <c r="A22" s="391" t="str">
        <f>Criterios!A4</f>
        <v>Fecha Informe: 29 nov. 2024</v>
      </c>
    </row>
    <row r="27" spans="1:4">
      <c r="A27" s="414"/>
    </row>
  </sheetData>
  <sheetProtection algorithmName="SHA-512" hashValue="sefIfiLMz/JeaPCPDNI4ZgS6zp51W57UEYtT75cHTIncZb67O2Tl+MYAJXLdOhpXMgsyVnGtb0QCoFWrMaAzSA==" saltValue="2qVU6X0vQC7B14PUKUp9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MOSTOLES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6.9570244748506455E-2</v>
      </c>
      <c r="C9" s="456">
        <f>IF(ISNUMBER(
   IF(J_V="SI",(Datos!J9-Datos!T9)/Datos!T9,(Datos!J9+Datos!Z9-(Datos!T9+Datos!AH9))/(Datos!T9+Datos!AH9))
     ),IF(J_V="SI",(Datos!J9-Datos!T9)/Datos!T9,(Datos!J9+Datos!Z9-(Datos!T9+Datos!AH9))/(Datos!T9+Datos!AH9))," - ")</f>
        <v>0.10408069692801467</v>
      </c>
      <c r="D9" s="456">
        <f>IF(ISNUMBER(
   IF(J_V="SI",(Datos!K9-Datos!U9)/Datos!U9,(Datos!K9+Datos!AA9-(Datos!U9+Datos!AI9))/(Datos!U9+Datos!AI9))
     ),IF(J_V="SI",(Datos!K9-Datos!U9)/Datos!U9,(Datos!K9+Datos!AA9-(Datos!U9+Datos!AI9))/(Datos!U9+Datos!AI9))," - ")</f>
        <v>0.20729772607086197</v>
      </c>
      <c r="E9" s="456">
        <f>IF(ISNUMBER(
   IF(J_V="SI",(Datos!L9-Datos!V9)/Datos!V9,(Datos!L9+Datos!AB9-(Datos!V9+Datos!AJ9))/(Datos!V9+Datos!AJ9))
     ),IF(J_V="SI",(Datos!L9-Datos!V9)/Datos!V9,(Datos!L9+Datos!AB9-(Datos!V9+Datos!AJ9))/(Datos!V9+Datos!AJ9))," - ")</f>
        <v>5.384194196021172E-2</v>
      </c>
      <c r="F9" s="456">
        <f>IF(ISNUMBER((Datos!M9-Datos!W9)/Datos!W9),(Datos!M9-Datos!W9)/Datos!W9," - ")</f>
        <v>-9.1743119266055051E-3</v>
      </c>
      <c r="G9" s="457">
        <f>IF(ISNUMBER((Datos!N9-Datos!X9)/Datos!X9),(Datos!N9-Datos!X9)/Datos!X9," - ")</f>
        <v>0.18785745710514737</v>
      </c>
      <c r="H9" s="455">
        <f>IF(ISNUMBER(((NºAsuntos!G9/NºAsuntos!E9)-Datos!BD9)/Datos!BD9),((NºAsuntos!G9/NºAsuntos!E9)-Datos!BD9)/Datos!BD9," - ")</f>
        <v>9.3486852392254946E-2</v>
      </c>
      <c r="I9" s="456">
        <f>IF(ISNUMBER(((NºAsuntos!I9/NºAsuntos!G9)-Datos!BE9)/Datos!BE9),((NºAsuntos!I9/NºAsuntos!G9)-Datos!BE9)/Datos!BE9," - ")</f>
        <v>-0.12710682774999543</v>
      </c>
      <c r="J9" s="461">
        <f>IF(ISNUMBER((('Resol  Asuntos'!D9/NºAsuntos!G9)-Datos!BF9)/Datos!BF9),(('Resol  Asuntos'!D9/NºAsuntos!G9)-Datos!BF9)/Datos!BF9," - ")</f>
        <v>-0.76386455175970214</v>
      </c>
      <c r="K9" s="462">
        <f>IF(ISNUMBER((((NºAsuntos!C9+NºAsuntos!E9)/NºAsuntos!G9)-Datos!BG9)/Datos!BG9),(((NºAsuntos!C9+NºAsuntos!E9)/NºAsuntos!G9)-Datos!BG9)/Datos!BG9," - ")</f>
        <v>-0.10562003029887</v>
      </c>
    </row>
    <row r="10" spans="1:11">
      <c r="A10" s="402" t="str">
        <f>Datos!A10</f>
        <v>Jdos. Violencia contra la mujer</v>
      </c>
      <c r="B10" s="455">
        <f>IF(ISNUMBER((Datos!I10-Datos!S10)/Datos!S10),(Datos!I10-Datos!S10)/Datos!S10," - ")</f>
        <v>0.43518518518518517</v>
      </c>
      <c r="C10" s="456">
        <f>IF(ISNUMBER((Datos!J10-Datos!T10)/Datos!T10),(Datos!J10-Datos!T10)/Datos!T10," - ")</f>
        <v>-0.40740740740740738</v>
      </c>
      <c r="D10" s="456">
        <f>IF(ISNUMBER((Datos!K10-Datos!U10)/Datos!U10),(Datos!K10-Datos!U10)/Datos!U10," - ")</f>
        <v>-0.25714285714285712</v>
      </c>
      <c r="E10" s="456">
        <f>IF(ISNUMBER((Datos!L10-Datos!V10)/Datos!V10),(Datos!L10-Datos!V10)/Datos!V10," - ")</f>
        <v>0.26771653543307089</v>
      </c>
      <c r="F10" s="456">
        <f>IF(ISNUMBER((Datos!M10-Datos!W10)/Datos!W10),(Datos!M10-Datos!W10)/Datos!W10," - ")</f>
        <v>-0.30769230769230771</v>
      </c>
      <c r="G10" s="457">
        <f>IF(ISNUMBER((Datos!N10-Datos!X10)/Datos!X10),(Datos!N10-Datos!X10)/Datos!X10," - ")</f>
        <v>-0.2</v>
      </c>
      <c r="H10" s="455">
        <f>IF(ISNUMBER(((NºAsuntos!G10/NºAsuntos!E10)-Datos!BD10)/Datos!BD10),((NºAsuntos!G10/NºAsuntos!E10)-Datos!BD10)/Datos!BD10," - ")</f>
        <v>0.25357142857142861</v>
      </c>
      <c r="I10" s="456">
        <f>IF(ISNUMBER(((NºAsuntos!I10/NºAsuntos!G10)-Datos!BE10)/Datos!BE10),((NºAsuntos!I10/NºAsuntos!G10)-Datos!BE10)/Datos!BE10," - ")</f>
        <v>0.70654149000605704</v>
      </c>
      <c r="J10" s="461">
        <f>IF(ISNUMBER((('Resol  Asuntos'!D10/NºAsuntos!G10)-Datos!BF10)/Datos!BF10),(('Resol  Asuntos'!D10/NºAsuntos!G10)-Datos!BF10)/Datos!BF10," - ")</f>
        <v>-6.8047337278106565E-2</v>
      </c>
      <c r="K10" s="462">
        <f>IF(ISNUMBER((((NºAsuntos!C10+NºAsuntos!E10)/NºAsuntos!G10)-Datos!BG10)/Datos!BG10),(((NºAsuntos!C10+NºAsuntos!E10)/NºAsuntos!G10)-Datos!BG10)/Datos!BG10," - ")</f>
        <v>0.55389363722697049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0.13072439633638636</v>
      </c>
      <c r="C11" s="456">
        <f>IF(ISNUMBER(
   IF(J_V="SI",(Datos!J11-Datos!T11)/Datos!T11,(Datos!J11+Datos!Z11-(Datos!T11+Datos!AH11))/(Datos!T11+Datos!AH11))
     ),IF(J_V="SI",(Datos!J11-Datos!T11)/Datos!T11,(Datos!J11+Datos!Z11-(Datos!T11+Datos!AH11))/(Datos!T11+Datos!AH11))," - ")</f>
        <v>-0.24892703862660945</v>
      </c>
      <c r="D11" s="456">
        <f>IF(ISNUMBER(
   IF(J_V="SI",(Datos!K11-Datos!U11)/Datos!U11,(Datos!K11+Datos!AA11-(Datos!U11+Datos!AI11))/(Datos!U11+Datos!AI11))
     ),IF(J_V="SI",(Datos!K11-Datos!U11)/Datos!U11,(Datos!K11+Datos!AA11-(Datos!U11+Datos!AI11))/(Datos!U11+Datos!AI11))," - ")</f>
        <v>-3.7790697674418602E-2</v>
      </c>
      <c r="E11" s="456">
        <f>IF(ISNUMBER(
   IF(J_V="SI",(Datos!L11-Datos!V11)/Datos!V11,(Datos!L11+Datos!AB11-(Datos!V11+Datos!AJ11))/(Datos!V11+Datos!AJ11))
     ),IF(J_V="SI",(Datos!L11-Datos!V11)/Datos!V11,(Datos!L11+Datos!AB11-(Datos!V11+Datos!AJ11))/(Datos!V11+Datos!AJ11))," - ")</f>
        <v>-0.10684580934101087</v>
      </c>
      <c r="F11" s="456">
        <f>IF(ISNUMBER((Datos!M11-Datos!W11)/Datos!W11),(Datos!M11-Datos!W11)/Datos!W11," - ")</f>
        <v>-0.125</v>
      </c>
      <c r="G11" s="457">
        <f>IF(ISNUMBER((Datos!N11-Datos!X11)/Datos!X11),(Datos!N11-Datos!X11)/Datos!X11," - ")</f>
        <v>-0.1013215859030837</v>
      </c>
      <c r="H11" s="455">
        <f>IF(ISNUMBER(((NºAsuntos!G11/NºAsuntos!E11)-Datos!BD11)/Datos!BD11),((NºAsuntos!G11/NºAsuntos!E11)-Datos!BD11)/Datos!BD11," - ")</f>
        <v>0.2811129568106312</v>
      </c>
      <c r="I11" s="456">
        <f>IF(ISNUMBER(((NºAsuntos!I11/NºAsuntos!G11)-Datos!BE11)/Datos!BE11),((NºAsuntos!I11/NºAsuntos!G11)-Datos!BE11)/Datos!BE11," - ")</f>
        <v>-7.1767245961654791E-2</v>
      </c>
      <c r="J11" s="461">
        <f>IF(ISNUMBER((('Resol  Asuntos'!D11/NºAsuntos!G11)-Datos!BF11)/Datos!BF11),(('Resol  Asuntos'!D11/NºAsuntos!G11)-Datos!BF11)/Datos!BF11," - ")</f>
        <v>-0.7275909338940868</v>
      </c>
      <c r="K11" s="462">
        <f>IF(ISNUMBER((((NºAsuntos!C11+NºAsuntos!E11)/NºAsuntos!G11)-Datos!BG11)/Datos!BG11),(((NºAsuntos!C11+NºAsuntos!E11)/NºAsuntos!G11)-Datos!BG11)/Datos!BG11," - ")</f>
        <v>2.7322056080326439E-3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7.9233336185505265E-2</v>
      </c>
      <c r="C13" s="855">
        <f>IF(ISNUMBER(
   IF(J_V="SI",(Datos!J13-Datos!T13)/Datos!T13,(Datos!J13+Datos!Z13-(Datos!T13+Datos!AH13))/(Datos!T13+Datos!AH13))
     ),IF(J_V="SI",(Datos!J13-Datos!T13)/Datos!T13,(Datos!J13+Datos!Z13-(Datos!T13+Datos!AH13))/(Datos!T13+Datos!AH13))," - ")</f>
        <v>3.7397157816005985E-2</v>
      </c>
      <c r="D13" s="855">
        <f>IF(ISNUMBER(
   IF(J_V="SI",(Datos!K13-Datos!U13)/Datos!U13,(Datos!K13+Datos!AA13-(Datos!U13+Datos!AI13))/(Datos!U13+Datos!AI13))
     ),IF(J_V="SI",(Datos!K13-Datos!U13)/Datos!U13,(Datos!K13+Datos!AA13-(Datos!U13+Datos!AI13))/(Datos!U13+Datos!AI13))," - ")</f>
        <v>0.16625971143174251</v>
      </c>
      <c r="E13" s="855">
        <f>IF(ISNUMBER(
   IF(J_V="SI",(Datos!L13-Datos!V13)/Datos!V13,(Datos!L13+Datos!AB13-(Datos!V13+Datos!AJ13))/(Datos!V13+Datos!AJ13))
     ),IF(J_V="SI",(Datos!L13-Datos!V13)/Datos!V13,(Datos!L13+Datos!AB13-(Datos!V13+Datos!AJ13))/(Datos!V13+Datos!AJ13))," - ")</f>
        <v>3.6132194813409235E-2</v>
      </c>
      <c r="F13" s="856">
        <f>IF(ISNUMBER((Datos!M13-Datos!W13)/Datos!W13),(Datos!M13-Datos!W13)/Datos!W13," - ")</f>
        <v>-3.3623910336239106E-2</v>
      </c>
      <c r="G13" s="857">
        <f>IF(ISNUMBER((Datos!N13-Datos!X13)/Datos!X13),(Datos!N13-Datos!X13)/Datos!X13," - ")</f>
        <v>0.13785557986870897</v>
      </c>
      <c r="H13" s="857">
        <f>IF(ISNUMBER(((NºAsuntos!G13/NºAsuntos!E13)-Datos!BD13)/Datos!BD13),((NºAsuntos!G13/NºAsuntos!E13)-Datos!BD13)/Datos!BD13," - ")</f>
        <v>0.12421718398286929</v>
      </c>
      <c r="I13" s="857">
        <f>IF(ISNUMBER(((NºAsuntos!I13/NºAsuntos!G13)-Datos!BE13)/Datos!BE13),((NºAsuntos!I13/NºAsuntos!G13)-Datos!BE13)/Datos!BE13," - ")</f>
        <v>-0.11157679146661417</v>
      </c>
      <c r="J13" s="857">
        <f>IF(ISNUMBER((('Resol  Asuntos'!D13/NºAsuntos!G13)-Datos!BF13)/Datos!BF13),(('Resol  Asuntos'!D13/NºAsuntos!G13)-Datos!BF13)/Datos!BF13," - ")</f>
        <v>-0.75716242612510731</v>
      </c>
      <c r="K13" s="857">
        <f>IF(ISNUMBER((((NºAsuntos!C13+NºAsuntos!E13)/NºAsuntos!G13)-Datos!BG13)/Datos!BG13),(((NºAsuntos!C13+NºAsuntos!E13)/NºAsuntos!G13)-Datos!BG13)/Datos!BG13," - ")</f>
        <v>-8.5881817691224258E-2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-5.9343434343434344E-2</v>
      </c>
      <c r="C15" s="456">
        <f>IF(ISNUMBER(
   IF(D_I="SI",(Datos!J15-Datos!T15)/Datos!T15,(Datos!J15+Datos!AD15-(Datos!T15+Datos!AL15))/(Datos!T15+Datos!AL15))
     ),IF(D_I="SI",(Datos!J15-Datos!T15)/Datos!T15,(Datos!J15+Datos!AD15-(Datos!T15+Datos!AL15))/(Datos!T15+Datos!AL15))," - ")</f>
        <v>-6.6833751044277356E-3</v>
      </c>
      <c r="D15" s="456">
        <f>IF(ISNUMBER(
   IF(D_I="SI",(Datos!K15-Datos!U15)/Datos!U15,(Datos!K15+Datos!AE15-(Datos!U15+Datos!AM15))/(Datos!U15+Datos!AM15))
     ),IF(D_I="SI",(Datos!K15-Datos!U15)/Datos!U15,(Datos!K15+Datos!AE15-(Datos!U15+Datos!AM15))/(Datos!U15+Datos!AM15))," - ")</f>
        <v>5.635062611806798E-2</v>
      </c>
      <c r="E15" s="456">
        <f>IF(ISNUMBER(
   IF(D_I="SI",(Datos!L15-Datos!V15)/Datos!V15,(Datos!L15+Datos!AF15-(Datos!V15+Datos!AN15))/(Datos!V15+Datos!AN15))
     ),IF(D_I="SI",(Datos!L15-Datos!V15)/Datos!V15,(Datos!L15+Datos!AF15-(Datos!V15+Datos!AN15))/(Datos!V15+Datos!AN15))," - ")</f>
        <v>-0.12387048192771084</v>
      </c>
      <c r="F15" s="456">
        <f>IF(ISNUMBER((Datos!M15-Datos!W15)/Datos!W15),(Datos!M15-Datos!W15)/Datos!W15," - ")</f>
        <v>-0.23045267489711935</v>
      </c>
      <c r="G15" s="457">
        <f>IF(ISNUMBER((Datos!N15-Datos!X15)/Datos!X15),(Datos!N15-Datos!X15)/Datos!X15," - ")</f>
        <v>5.201266395296246E-2</v>
      </c>
      <c r="H15" s="455">
        <f>IF(ISNUMBER(((NºAsuntos!G15/NºAsuntos!E15)-Datos!BD15)/Datos!BD15),((NºAsuntos!G15/NºAsuntos!E15)-Datos!BD15)/Datos!BD15," - ")</f>
        <v>6.3458115612554628E-2</v>
      </c>
      <c r="I15" s="456">
        <f>IF(ISNUMBER(((NºAsuntos!I15/NºAsuntos!G15)-Datos!BE15)/Datos!BE15),((NºAsuntos!I15/NºAsuntos!G15)-Datos!BE15)/Datos!BE15," - ")</f>
        <v>-0.17060728094426825</v>
      </c>
      <c r="J15" s="461">
        <f>IF(ISNUMBER((('Resol  Asuntos'!D15/NºAsuntos!G15)-Datos!BF15)/Datos!BF15),(('Resol  Asuntos'!D15/NºAsuntos!G15)-Datos!BF15)/Datos!BF15," - ")</f>
        <v>-0.2715038869898217</v>
      </c>
      <c r="K15" s="462">
        <f>IF(ISNUMBER((((NºAsuntos!C15+NºAsuntos!E15)/NºAsuntos!G15)-Datos!BG15)/Datos!BG15),(((NºAsuntos!C15+NºAsuntos!E15)/NºAsuntos!G15)-Datos!BG15)/Datos!BG15," - ")</f>
        <v>-7.9521619542539085E-2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5.9585492227979271E-2</v>
      </c>
      <c r="C17" s="456">
        <f>IF(ISNUMBER(
   IF(D_I="SI",(Datos!J17-Datos!T17)/Datos!T17,(Datos!J17+Datos!AD17-(Datos!T17+Datos!AL17))/(Datos!T17+Datos!AL17))
     ),IF(D_I="SI",(Datos!J17-Datos!T17)/Datos!T17,(Datos!J17+Datos!AD17-(Datos!T17+Datos!AL17))/(Datos!T17+Datos!AL17))," - ")</f>
        <v>-0.18302828618968386</v>
      </c>
      <c r="D17" s="456">
        <f>IF(ISNUMBER(
   IF(D_I="SI",(Datos!K17-Datos!U17)/Datos!U17,(Datos!K17+Datos!AE17-(Datos!U17+Datos!AM17))/(Datos!U17+Datos!AM17))
     ),IF(D_I="SI",(Datos!K17-Datos!U17)/Datos!U17,(Datos!K17+Datos!AE17-(Datos!U17+Datos!AM17))/(Datos!U17+Datos!AM17))," - ")</f>
        <v>1.3916500994035786E-2</v>
      </c>
      <c r="E17" s="456">
        <f>IF(ISNUMBER(
   IF(D_I="SI",(Datos!L17-Datos!V17)/Datos!V17,(Datos!L17+Datos!AF17-(Datos!V17+Datos!AN17))/(Datos!V17+Datos!AN17))
     ),IF(D_I="SI",(Datos!L17-Datos!V17)/Datos!V17,(Datos!L17+Datos!AF17-(Datos!V17+Datos!AN17))/(Datos!V17+Datos!AN17))," - ")</f>
        <v>-0.19421487603305784</v>
      </c>
      <c r="F17" s="456">
        <f>IF(ISNUMBER((Datos!M17-Datos!W17)/Datos!W17),(Datos!M17-Datos!W17)/Datos!W17," - ")</f>
        <v>-0.4</v>
      </c>
      <c r="G17" s="457">
        <f>IF(ISNUMBER((Datos!N17-Datos!X17)/Datos!X17),(Datos!N17-Datos!X17)/Datos!X17," - ")</f>
        <v>6.5743944636678195E-2</v>
      </c>
      <c r="H17" s="455">
        <f>IF(ISNUMBER(((NºAsuntos!G17/NºAsuntos!E17)-Datos!BD17)/Datos!BD17),((NºAsuntos!G17/NºAsuntos!E17)-Datos!BD17)/Datos!BD17," - ")</f>
        <v>0.24106683726561204</v>
      </c>
      <c r="I17" s="456">
        <f>IF(ISNUMBER(((NºAsuntos!I17/NºAsuntos!G17)-Datos!BE17)/Datos!BE17),((NºAsuntos!I17/NºAsuntos!G17)-Datos!BE17)/Datos!BE17," - ")</f>
        <v>-0.20527467185221199</v>
      </c>
      <c r="J17" s="461">
        <f>IF(ISNUMBER((('Resol  Asuntos'!D17/NºAsuntos!G17)-Datos!BF17)/Datos!BF17),(('Resol  Asuntos'!D17/NºAsuntos!G17)-Datos!BF17)/Datos!BF17," - ")</f>
        <v>-0.40823529411764709</v>
      </c>
      <c r="K17" s="462">
        <f>IF(ISNUMBER((((NºAsuntos!C17+NºAsuntos!E17)/NºAsuntos!G17)-Datos!BG17)/Datos!BG17),(((NºAsuntos!C17+NºAsuntos!E17)/NºAsuntos!G17)-Datos!BG17)/Datos!BG17," - ")</f>
        <v>-0.10066154121222963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-4.2722664735698766E-2</v>
      </c>
      <c r="C18" s="855">
        <f>IF(ISNUMBER(
   IF(Criterios!B14="SI",(Datos!J18-Datos!T18)/Datos!T18,(Datos!J18+Datos!AD18-(Datos!T18+Datos!AL18))/(Datos!T18+Datos!AL18))
     ),IF(Criterios!B14="SI",(Datos!J18-Datos!T18)/Datos!T18,(Datos!J18+Datos!AD18-(Datos!T18+Datos!AL18))/(Datos!T18+Datos!AL18))," - ")</f>
        <v>-3.196564885496183E-2</v>
      </c>
      <c r="D18" s="855">
        <f>IF(ISNUMBER(
   IF(Criterios!B14="SI",(Datos!K18-Datos!U18)/Datos!U18,(Datos!K18+Datos!AE18-(Datos!U18+Datos!AM18))/(Datos!U18+Datos!AM18))
     ),IF(Criterios!B14="SI",(Datos!K18-Datos!U18)/Datos!U18,(Datos!K18+Datos!AE18-(Datos!U18+Datos!AM18))/(Datos!U18+Datos!AM18))," - ")</f>
        <v>5.0816696914700546E-2</v>
      </c>
      <c r="E18" s="855">
        <f>IF(ISNUMBER(
   IF(Criterios!B14="SI",(Datos!L18-Datos!V18)/Datos!V18,(Datos!L18+Datos!AF18-(Datos!V18+Datos!AN18))/(Datos!V18+Datos!AN18))
     ),IF(Criterios!B14="SI",(Datos!L18-Datos!V18)/Datos!V18,(Datos!L18+Datos!AF18-(Datos!V18+Datos!AN18))/(Datos!V18+Datos!AN18))," - ")</f>
        <v>-0.13471337579617834</v>
      </c>
      <c r="F18" s="856">
        <f>IF(ISNUMBER((Datos!M18-Datos!W18)/Datos!W18),(Datos!M18-Datos!W18)/Datos!W18," - ")</f>
        <v>-0.24334600760456274</v>
      </c>
      <c r="G18" s="857">
        <f>IF(ISNUMBER((Datos!N18-Datos!X18)/Datos!X18),(Datos!N18-Datos!X18)/Datos!X18," - ")</f>
        <v>5.3600000000000002E-2</v>
      </c>
      <c r="H18" s="857">
        <f>IF(ISNUMBER(((NºAsuntos!G18/NºAsuntos!E18)-Datos!BD18)/Datos!BD18),((NºAsuntos!G18/NºAsuntos!E18)-Datos!BD18)/Datos!BD18," - ")</f>
        <v>8.551591756195781E-2</v>
      </c>
      <c r="I18" s="857">
        <f>IF(ISNUMBER(((NºAsuntos!I18/NºAsuntos!G18)-Datos!BE18)/Datos!BE18),((NºAsuntos!I18/NºAsuntos!G18)-Datos!BE18)/Datos!BE18," - ")</f>
        <v>-0.1765579793846187</v>
      </c>
      <c r="J18" s="857">
        <f>IF(ISNUMBER((('Resol  Asuntos'!D18/NºAsuntos!G18)-Datos!BF18)/Datos!BF18),(('Resol  Asuntos'!D18/NºAsuntos!G18)-Datos!BF18)/Datos!BF18," - ")</f>
        <v>-0.27993721967204505</v>
      </c>
      <c r="K18" s="857">
        <f>IF(ISNUMBER((((NºAsuntos!C18+NºAsuntos!E18)/NºAsuntos!G18)-Datos!BG18)/Datos!BG18),(((NºAsuntos!C18+NºAsuntos!E18)/NºAsuntos!G18)-Datos!BG18)/Datos!BG18," - ")</f>
        <v>-8.2844927659333475E-2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5.5920824970586203E-2</v>
      </c>
      <c r="C19" s="802">
        <f>IF(ISNUMBER(
   IF(J_V="SI",(Datos!J19-Datos!T19)/Datos!T19,(Datos!J19+Datos!Z19-(Datos!T19+Datos!AH19))/(Datos!T19+Datos!AH19))
     ),IF(J_V="SI",(Datos!J19-Datos!T19)/Datos!T19,(Datos!J19+Datos!Z19-(Datos!T19+Datos!AH19))/(Datos!T19+Datos!AH19))," - ")</f>
        <v>6.918238993710692E-3</v>
      </c>
      <c r="D19" s="802">
        <f>IF(ISNUMBER(
   IF(J_V="SI",(Datos!K19-Datos!U19)/Datos!U19,(Datos!K19+Datos!AA19-(Datos!U19+Datos!AI19))/(Datos!U19+Datos!AI19))
     ),IF(J_V="SI",(Datos!K19-Datos!U19)/Datos!U19,(Datos!K19+Datos!AA19-(Datos!U19+Datos!AI19))/(Datos!U19+Datos!AI19))," - ")</f>
        <v>0.1130112413298254</v>
      </c>
      <c r="E19" s="802">
        <f>IF(ISNUMBER(
   IF(J_V="SI",(Datos!L19-Datos!V19)/Datos!V19,(Datos!L19+Datos!AB19-(Datos!V19+Datos!AJ19))/(Datos!V19+Datos!AJ19))
     ),IF(J_V="SI",(Datos!L19-Datos!V19)/Datos!V19,(Datos!L19+Datos!AB19-(Datos!V19+Datos!AJ19))/(Datos!V19+Datos!AJ19))," - ")</f>
        <v>2.1535343298707882E-3</v>
      </c>
      <c r="F19" s="803">
        <f>IF(ISNUMBER((Datos!M19-Datos!W19)/Datos!W19),(Datos!M19-Datos!W19)/Datos!W19," - ")</f>
        <v>-8.5365853658536592E-2</v>
      </c>
      <c r="G19" s="804">
        <f>IF(ISNUMBER((Datos!N19-Datos!X19)/Datos!X19),(Datos!N19-Datos!X19)/Datos!X19," - ")</f>
        <v>9.7672644028996572E-2</v>
      </c>
      <c r="H19" s="805">
        <f>IF(ISNUMBER((Tasas!B19-Datos!BD19)/Datos!BD19),(Tasas!B19-Datos!BD19)/Datos!BD19," - ")</f>
        <v>0.10536406852868355</v>
      </c>
      <c r="I19" s="806">
        <f>IF(ISNUMBER((Tasas!C19-Datos!BE19)/Datos!BE19),(Tasas!C19-Datos!BE19)/Datos!BE19," - ")</f>
        <v>-9.9601605880909064E-2</v>
      </c>
      <c r="J19" s="807">
        <f>IF(ISNUMBER((Tasas!D19-Datos!BF19)/Datos!BF19),(Tasas!D19-Datos!BF19)/Datos!BF19," - ")</f>
        <v>-0.70829106425969013</v>
      </c>
      <c r="K19" s="807">
        <f>IF(ISNUMBER((Tasas!E19-Datos!BG19)/Datos!BG19),(Tasas!E19-Datos!BG19)/Datos!BG19," - ")</f>
        <v>-6.8802428217979522E-2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ym6LpP0Q3TOwKL2wtLYQWHPSXOHRCVCAxm0JeQp/NmC9cGuAAkNhKGnfQX6Ssxng2q6VE+W8lLnOOqeRXbZUw==" saltValue="ItDDh49LI0vlbOMKw5rY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MOSTOLES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0.94808970099667778</v>
      </c>
      <c r="C9" s="443">
        <f>IF(ISNUMBER(NºAsuntos!I9/NºAsuntos!G9),NºAsuntos!I9/NºAsuntos!G9," - ")</f>
        <v>2.5291283399036355</v>
      </c>
      <c r="D9" s="444">
        <f>IF(ISNUMBER('Resol  Asuntos'!D9/NºAsuntos!G9),'Resol  Asuntos'!D9/NºAsuntos!G9," - ")</f>
        <v>0.14191852825229961</v>
      </c>
      <c r="E9" s="445">
        <f>IF(ISNUMBER((NºAsuntos!C9+NºAsuntos!E9)/NºAsuntos!G9),(NºAsuntos!C9+NºAsuntos!E9)/NºAsuntos!G9," - ")</f>
        <v>3.4857643451598772</v>
      </c>
      <c r="G9" s="463"/>
    </row>
    <row r="10" spans="1:7">
      <c r="A10" s="402" t="str">
        <f>Datos!A10</f>
        <v>Jdos. Violencia contra la mujer</v>
      </c>
      <c r="B10" s="442">
        <f>IF(ISNUMBER(NºAsuntos!G10/NºAsuntos!E10),NºAsuntos!G10/NºAsuntos!E10," - ")</f>
        <v>0.8125</v>
      </c>
      <c r="C10" s="443">
        <f>IF(ISNUMBER(NºAsuntos!I10/NºAsuntos!G10),NºAsuntos!I10/NºAsuntos!G10," - ")</f>
        <v>6.1923076923076925</v>
      </c>
      <c r="D10" s="444">
        <f>IF(ISNUMBER('Resol  Asuntos'!D10/NºAsuntos!G10),'Resol  Asuntos'!D10/NºAsuntos!G10," - ")</f>
        <v>0.34615384615384615</v>
      </c>
      <c r="E10" s="445">
        <f>IF(ISNUMBER((NºAsuntos!C10+NºAsuntos!E10)/NºAsuntos!G10),(NºAsuntos!C10+NºAsuntos!E10)/NºAsuntos!G10," - ")</f>
        <v>7.1923076923076925</v>
      </c>
      <c r="G10" s="463"/>
    </row>
    <row r="11" spans="1:7">
      <c r="A11" s="402" t="str">
        <f>Datos!A11</f>
        <v xml:space="preserve">Jdos. Familia                                   </v>
      </c>
      <c r="B11" s="442">
        <f>IF(ISNUMBER(NºAsuntos!G11/NºAsuntos!E11),NºAsuntos!G11/NºAsuntos!E11," - ")</f>
        <v>0.94571428571428573</v>
      </c>
      <c r="C11" s="443">
        <f>IF(ISNUMBER(NºAsuntos!I11/NºAsuntos!G11),NºAsuntos!I11/NºAsuntos!G11," - ")</f>
        <v>2.1087613293051359</v>
      </c>
      <c r="D11" s="444">
        <f>IF(ISNUMBER('Resol  Asuntos'!D11/NºAsuntos!G11),'Resol  Asuntos'!D11/NºAsuntos!G11," - ")</f>
        <v>0.1797583081570997</v>
      </c>
      <c r="E11" s="445">
        <f>IF(ISNUMBER((NºAsuntos!C11+NºAsuntos!E11)/NºAsuntos!G11),(NºAsuntos!C11+NºAsuntos!E11)/NºAsuntos!G11," - ")</f>
        <v>3.1087613293051359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0.94700793078586876</v>
      </c>
      <c r="C13" s="859">
        <f>IF(ISNUMBER(NºAsuntos!I13/NºAsuntos!G13),NºAsuntos!I13/NºAsuntos!G13," - ")</f>
        <v>2.4942900647126001</v>
      </c>
      <c r="D13" s="860">
        <f>IF(ISNUMBER('Resol  Asuntos'!D13/NºAsuntos!G13),'Resol  Asuntos'!D13/NºAsuntos!G13," - ")</f>
        <v>0.1476969927674153</v>
      </c>
      <c r="E13" s="861">
        <f>IF(ISNUMBER((NºAsuntos!C13+NºAsuntos!E13)/NºAsuntos!G13),(NºAsuntos!C13+NºAsuntos!E13)/NºAsuntos!G13," - ")</f>
        <v>3.4566044918157592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0.99327165685449958</v>
      </c>
      <c r="C15" s="443">
        <f>IF(ISNUMBER(NºAsuntos!I15/NºAsuntos!G15),NºAsuntos!I15/NºAsuntos!G15," - ")</f>
        <v>0.65678803274061526</v>
      </c>
      <c r="D15" s="444">
        <f>IF(ISNUMBER('Resol  Asuntos'!D15/NºAsuntos!G15),'Resol  Asuntos'!D15/NºAsuntos!G15," - ")</f>
        <v>5.2780129833474458E-2</v>
      </c>
      <c r="E15" s="445">
        <f>IF(ISNUMBER((NºAsuntos!C15+NºAsuntos!E15)/NºAsuntos!G15),(NºAsuntos!C15+NºAsuntos!E15)/NºAsuntos!G15," - ")</f>
        <v>1.6375952582557154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1.0386965376782078</v>
      </c>
      <c r="C17" s="443">
        <f>IF(ISNUMBER(NºAsuntos!I17/NºAsuntos!G17),NºAsuntos!I17/NºAsuntos!G17," - ")</f>
        <v>0.76470588235294112</v>
      </c>
      <c r="D17" s="444">
        <f>IF(ISNUMBER('Resol  Asuntos'!D17/NºAsuntos!G17),'Resol  Asuntos'!D17/NºAsuntos!G17," - ")</f>
        <v>2.3529411764705882E-2</v>
      </c>
      <c r="E17" s="445">
        <f>IF(ISNUMBER((NºAsuntos!C17+NºAsuntos!E17)/NºAsuntos!G17),(NºAsuntos!C17+NºAsuntos!E17)/NºAsuntos!G17," - ")</f>
        <v>1.7647058823529411</v>
      </c>
      <c r="G17" s="463"/>
    </row>
    <row r="18" spans="1:7" ht="14.25" thickTop="1" thickBot="1">
      <c r="A18" s="848" t="str">
        <f>Datos!A18</f>
        <v>TOTAL</v>
      </c>
      <c r="B18" s="858">
        <f>IF(ISNUMBER(NºAsuntos!G18/NºAsuntos!E18),NºAsuntos!G18/NºAsuntos!E18," - ")</f>
        <v>0.99876786594381473</v>
      </c>
      <c r="C18" s="859">
        <f>IF(ISNUMBER(NºAsuntos!I18/NºAsuntos!G18),NºAsuntos!I18/NºAsuntos!G18," - ")</f>
        <v>0.67036762891685175</v>
      </c>
      <c r="D18" s="862">
        <f>IF(ISNUMBER('Resol  Asuntos'!D18/NºAsuntos!G18),'Resol  Asuntos'!D18/NºAsuntos!G18," - ")</f>
        <v>4.909943251912164E-2</v>
      </c>
      <c r="E18" s="861">
        <f>IF(ISNUMBER((NºAsuntos!C18+NºAsuntos!E18)/NºAsuntos!G18),(NºAsuntos!C18+NºAsuntos!E18)/NºAsuntos!G18," - ")</f>
        <v>1.6535899333826796</v>
      </c>
      <c r="G18" s="463"/>
    </row>
    <row r="19" spans="1:7" ht="15.75" customHeight="1" thickTop="1" thickBot="1">
      <c r="A19" s="793" t="str">
        <f>Datos!A19</f>
        <v>TOTAL JURISDICCIONES</v>
      </c>
      <c r="B19" s="808">
        <f>IF(ISNUMBER(NºAsuntos!G19/NºAsuntos!E19),NºAsuntos!G19/NºAsuntos!E19," - ")</f>
        <v>0.96887362065375804</v>
      </c>
      <c r="C19" s="809">
        <f>IF(ISNUMBER(NºAsuntos!I19/NºAsuntos!G19),NºAsuntos!I19/NºAsuntos!G19," - ")</f>
        <v>1.7000107446008381</v>
      </c>
      <c r="D19" s="810">
        <f>IF(ISNUMBER('Resol  Asuntos'!D19/NºAsuntos!G19),'Resol  Asuntos'!D19/NºAsuntos!G19," - ")</f>
        <v>0.10475985817126894</v>
      </c>
      <c r="E19" s="811">
        <f>IF(ISNUMBER((NºAsuntos!C19+NºAsuntos!E19)/NºAsuntos!G19),(NºAsuntos!C19+NºAsuntos!E19)/NºAsuntos!G19," - ")</f>
        <v>2.6714301063715484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rXxkfLhKKEocU+QV/hH829tZflZfdmdKl+8+yXo/tmk0we1uXjtgqAMaToJacrjfmmp5VSskN24tozhjlJ1sw==" saltValue="ITmcO/i7ORxORPXbXdzu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MOSTOLES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863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633</v>
      </c>
      <c r="Y9" s="334">
        <f>SUM(W9:X9)</f>
        <v>633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13489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648</v>
      </c>
      <c r="AJ9" s="229" t="str">
        <f>IF(ISNUMBER(Datos!BW9),Datos!BW9," - ")</f>
        <v xml:space="preserve"> - </v>
      </c>
      <c r="AK9" s="228" t="str">
        <f>IF(ISNUMBER(Datos!BX9),Datos!BX9," - ")</f>
        <v xml:space="preserve"> - </v>
      </c>
      <c r="AL9" s="243">
        <f>IF(ISNUMBER(NºAsuntos!G9/NºAsuntos!E9),NºAsuntos!G9/NºAsuntos!E9," - ")</f>
        <v>0.94808970099667778</v>
      </c>
      <c r="AM9" s="260">
        <f>IF(ISNUMBER(((NºAsuntos!I9/NºAsuntos!G9)*11)/factor_trimestre),((NºAsuntos!I9/NºAsuntos!G9)*11)/factor_trimestre," - ")</f>
        <v>5.058256679807271</v>
      </c>
      <c r="AN9" s="244">
        <f>IF(ISNUMBER('Resol  Asuntos'!D9/NºAsuntos!G9),'Resol  Asuntos'!D9/NºAsuntos!G9," - ")</f>
        <v>0.14191852825229961</v>
      </c>
      <c r="AO9" s="245">
        <f>IF(ISNUMBER((NºAsuntos!C9+NºAsuntos!E9)/NºAsuntos!G9),(NºAsuntos!C9+NºAsuntos!E9)/NºAsuntos!G9," - ")</f>
        <v>3.4857643451598772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155</v>
      </c>
      <c r="G10" s="333">
        <f>IF(ISNUMBER(Datos!I10),Datos!I10," - ")</f>
        <v>155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2</v>
      </c>
      <c r="Y10" s="334">
        <f t="shared" ref="Y10:Y12" si="0">SUM(W10:X10)</f>
        <v>28</v>
      </c>
      <c r="Z10" s="335" t="str">
        <f>IF(ISNUMBER(Datos!CC10),Datos!CC10," - ")</f>
        <v xml:space="preserve"> - </v>
      </c>
      <c r="AA10" s="332">
        <f>IF(ISNUMBER(Datos!L10),Datos!L10,"-")</f>
        <v>161</v>
      </c>
      <c r="AB10" s="334">
        <f>IF(ISNUMBER(Datos!R10),Datos!R10," - ")</f>
        <v>70</v>
      </c>
      <c r="AC10" s="334">
        <f t="shared" ref="AC10:AC12" si="1">IF(ISNUMBER(AA10+AB10),AA10+AB10," - ")</f>
        <v>231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0.8125</v>
      </c>
      <c r="AM10" s="260">
        <f>IF(ISNUMBER(((NºAsuntos!I10/NºAsuntos!G10)*11)/factor_trimestre),((NºAsuntos!I10/NºAsuntos!G10)*11)/factor_trimestre," - ")</f>
        <v>12.384615384615385</v>
      </c>
      <c r="AN10" s="244">
        <f>IF(ISNUMBER('Resol  Asuntos'!D10/NºAsuntos!G10),'Resol  Asuntos'!D10/NºAsuntos!G10," - ")</f>
        <v>0.34615384615384615</v>
      </c>
      <c r="AO10" s="245">
        <f>IF(ISNUMBER((NºAsuntos!C10+NºAsuntos!E10)/NºAsuntos!G10),(NºAsuntos!C10+NºAsuntos!E10)/NºAsuntos!G10," - ")</f>
        <v>7.1923076923076925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138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39</v>
      </c>
      <c r="Y11" s="334">
        <f t="shared" si="0"/>
        <v>39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1043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119</v>
      </c>
      <c r="AJ11" s="231" t="str">
        <f>IF(ISNUMBER(Datos!BW11),Datos!BW11," - ")</f>
        <v xml:space="preserve"> - </v>
      </c>
      <c r="AK11" s="232" t="str">
        <f>IF(ISNUMBER(Datos!BX11),Datos!BX11," - ")</f>
        <v xml:space="preserve"> - </v>
      </c>
      <c r="AL11" s="243">
        <f>IF(ISNUMBER(NºAsuntos!G11/NºAsuntos!E11),NºAsuntos!G11/NºAsuntos!E11," - ")</f>
        <v>0.94571428571428573</v>
      </c>
      <c r="AM11" s="260">
        <f>IF(ISNUMBER(((NºAsuntos!I11/NºAsuntos!G11)*11)/factor_trimestre),((NºAsuntos!I11/NºAsuntos!G11)*11)/factor_trimestre," - ")</f>
        <v>4.2175226586102719</v>
      </c>
      <c r="AN11" s="244">
        <f>IF(ISNUMBER('Resol  Asuntos'!D11/NºAsuntos!G11),'Resol  Asuntos'!D11/NºAsuntos!G11," - ")</f>
        <v>0.1797583081570997</v>
      </c>
      <c r="AO11" s="245">
        <f>IF(ISNUMBER((NºAsuntos!C11+NºAsuntos!E11)/NºAsuntos!G11),(NºAsuntos!C11+NºAsuntos!E11)/NºAsuntos!G11," - ")</f>
        <v>3.1087613293051359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155</v>
      </c>
      <c r="G13" s="866">
        <f t="shared" si="3"/>
        <v>155</v>
      </c>
      <c r="H13" s="865">
        <f t="shared" si="3"/>
        <v>0</v>
      </c>
      <c r="I13" s="867">
        <f t="shared" si="3"/>
        <v>0</v>
      </c>
      <c r="J13" s="867">
        <f t="shared" si="3"/>
        <v>0</v>
      </c>
      <c r="K13" s="867">
        <f t="shared" si="3"/>
        <v>0</v>
      </c>
      <c r="L13" s="867">
        <f t="shared" si="3"/>
        <v>1005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674</v>
      </c>
      <c r="Y13" s="868">
        <f t="shared" si="4"/>
        <v>700</v>
      </c>
      <c r="Z13" s="868">
        <f t="shared" si="4"/>
        <v>0</v>
      </c>
      <c r="AA13" s="868">
        <f t="shared" si="4"/>
        <v>161</v>
      </c>
      <c r="AB13" s="868">
        <f t="shared" si="4"/>
        <v>14602</v>
      </c>
      <c r="AC13" s="868">
        <f t="shared" si="4"/>
        <v>231</v>
      </c>
      <c r="AD13" s="868">
        <f t="shared" si="4"/>
        <v>0</v>
      </c>
      <c r="AE13" s="872">
        <f t="shared" si="4"/>
        <v>0</v>
      </c>
      <c r="AF13" s="865">
        <f t="shared" si="4"/>
        <v>0</v>
      </c>
      <c r="AG13" s="873">
        <f t="shared" si="4"/>
        <v>0</v>
      </c>
      <c r="AH13" s="870">
        <f t="shared" si="4"/>
        <v>0</v>
      </c>
      <c r="AI13" s="865">
        <f t="shared" si="4"/>
        <v>776</v>
      </c>
      <c r="AJ13" s="867">
        <f t="shared" si="4"/>
        <v>0</v>
      </c>
      <c r="AK13" s="870">
        <f>SUBTOTAL(9,AK9:AK12)</f>
        <v>0</v>
      </c>
      <c r="AL13" s="874">
        <f>IF(ISNUMBER(NºAsuntos!G13/NºAsuntos!E13),NºAsuntos!G13/NºAsuntos!E13," - ")</f>
        <v>0.94700793078586876</v>
      </c>
      <c r="AM13" s="874">
        <f>IF(ISNUMBER(((NºAsuntos!I13/NºAsuntos!G13)*11)/factor_trimestre),((NºAsuntos!I13/NºAsuntos!G13)*11)/factor_trimestre," - ")</f>
        <v>4.9885801294252001</v>
      </c>
      <c r="AN13" s="875">
        <f>IF(ISNUMBER('Resol  Asuntos'!D13/NºAsuntos!G13),'Resol  Asuntos'!D13/NºAsuntos!G13," - ")</f>
        <v>0.1476969927674153</v>
      </c>
      <c r="AO13" s="876">
        <f>IF(ISNUMBER((NºAsuntos!C13+NºAsuntos!E13)/NºAsuntos!G13),(NºAsuntos!C13+NºAsuntos!E13)/NºAsuntos!G13," - ")</f>
        <v>3.4566044918157592</v>
      </c>
      <c r="AP13" s="877" t="str">
        <f t="shared" si="2"/>
        <v xml:space="preserve"> - </v>
      </c>
      <c r="AQ13" s="877">
        <f>IF(ISNUMBER((H13-W13+K13)/(F13)),(H13-W13+K13)/(F13)," - ")</f>
        <v>-0.16774193548387098</v>
      </c>
      <c r="AR13" s="878">
        <f>IF(ISNUMBER((Datos!P13-Datos!Q13)/(Datos!R13-Datos!P13+Datos!Q13)),(Datos!P13-Datos!Q13)/(Datos!R13-Datos!P13+Datos!Q13)," - ")</f>
        <v>2.3193889706397589E-2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2303</v>
      </c>
      <c r="G15" s="333">
        <f>IF(ISNUMBER(IF(D_I="SI",Datos!I15,Datos!I15+Datos!AC15)),IF(D_I="SI",Datos!I15,Datos!I15+Datos!AC15)," - ")</f>
        <v>2235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3543</v>
      </c>
      <c r="X15" s="226">
        <f>IF(ISNUMBER(Datos!Q15),Datos!Q15," - ")</f>
        <v>60</v>
      </c>
      <c r="Y15" s="334">
        <f>SUM(W15)</f>
        <v>3543</v>
      </c>
      <c r="Z15" s="335" t="str">
        <f>IF(ISNUMBER(Datos!CC15),Datos!CC15," - ")</f>
        <v xml:space="preserve"> - </v>
      </c>
      <c r="AA15" s="332">
        <f>IF(ISNUMBER(IF(D_I="SI",Datos!L15,Datos!L15+Datos!AF15)),IF(D_I="SI",Datos!L15,Datos!L15+Datos!AF15)," - ")</f>
        <v>2327</v>
      </c>
      <c r="AB15" s="334">
        <f>IF(ISNUMBER(Datos!R15),Datos!R15," - ")</f>
        <v>323</v>
      </c>
      <c r="AC15" s="334">
        <f t="shared" ref="AC15:AC17" si="6">IF(ISNUMBER(AA15+AB15),AA15+AB15," - ")</f>
        <v>2650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187</v>
      </c>
      <c r="AJ15" s="231" t="str">
        <f>IF(ISNUMBER(Datos!BW15),Datos!BW15," - ")</f>
        <v xml:space="preserve"> - </v>
      </c>
      <c r="AK15" s="232" t="str">
        <f>IF(ISNUMBER(Datos!BX15),Datos!BX15," - ")</f>
        <v xml:space="preserve"> - </v>
      </c>
      <c r="AL15" s="243">
        <f>IF(ISNUMBER(NºAsuntos!G15/NºAsuntos!E15),NºAsuntos!G15/NºAsuntos!E15," - ")</f>
        <v>0.99327165685449958</v>
      </c>
      <c r="AM15" s="260">
        <f>IF(ISNUMBER(((NºAsuntos!I15/NºAsuntos!G15)*11)/factor_trimestre),((NºAsuntos!I15/NºAsuntos!G15)*11)/factor_trimestre," - ")</f>
        <v>1.3135760654812305</v>
      </c>
      <c r="AN15" s="244">
        <f>IF(ISNUMBER('Resol  Asuntos'!D15/NºAsuntos!G15),'Resol  Asuntos'!D15/NºAsuntos!G15," - ")</f>
        <v>5.2780129833474458E-2</v>
      </c>
      <c r="AO15" s="245">
        <f>IF(ISNUMBER((NºAsuntos!C15+NºAsuntos!E15)/NºAsuntos!G15),(NºAsuntos!C15+NºAsuntos!E15)/NºAsuntos!G15," - ")</f>
        <v>1.6375952582557154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510</v>
      </c>
      <c r="X17" s="226">
        <f>IF(ISNUMBER(Datos!Q17),Datos!Q17," - ")</f>
        <v>0</v>
      </c>
      <c r="Y17" s="334">
        <f t="shared" si="7"/>
        <v>510</v>
      </c>
      <c r="Z17" s="335" t="str">
        <f>IF(ISNUMBER(Datos!CC17),Datos!CC17," - ")</f>
        <v xml:space="preserve"> - </v>
      </c>
      <c r="AA17" s="332">
        <f>IF(ISNUMBER(Datos!L17),Datos!L17,"-")</f>
        <v>390</v>
      </c>
      <c r="AB17" s="334">
        <f>IF(ISNUMBER(Datos!R17),Datos!R17," - ")</f>
        <v>17</v>
      </c>
      <c r="AC17" s="334">
        <f t="shared" si="6"/>
        <v>407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1.0386965376782078</v>
      </c>
      <c r="AM17" s="260">
        <f>IF(ISNUMBER(((NºAsuntos!I17/NºAsuntos!G17)*11)/factor_trimestre),((NºAsuntos!I17/NºAsuntos!G17)*11)/factor_trimestre," - ")</f>
        <v>1.529411764705882</v>
      </c>
      <c r="AN17" s="244">
        <f>IF(ISNUMBER('Resol  Asuntos'!D17/NºAsuntos!G17),'Resol  Asuntos'!D17/NºAsuntos!G17," - ")</f>
        <v>2.3529411764705882E-2</v>
      </c>
      <c r="AO17" s="245">
        <f>IF(ISNUMBER((NºAsuntos!C17+NºAsuntos!E17)/NºAsuntos!G17),(NºAsuntos!C17+NºAsuntos!E17)/NºAsuntos!G17," - ")</f>
        <v>1.7647058823529411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2303</v>
      </c>
      <c r="G18" s="866">
        <f>SUBTOTAL(9,G15:G17)</f>
        <v>2644</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4053</v>
      </c>
      <c r="X18" s="867">
        <f t="shared" si="11"/>
        <v>60</v>
      </c>
      <c r="Y18" s="868">
        <f t="shared" si="11"/>
        <v>4053</v>
      </c>
      <c r="Z18" s="868">
        <f t="shared" si="11"/>
        <v>0</v>
      </c>
      <c r="AA18" s="868">
        <f t="shared" si="11"/>
        <v>2717</v>
      </c>
      <c r="AB18" s="868">
        <f t="shared" si="11"/>
        <v>340</v>
      </c>
      <c r="AC18" s="868">
        <f t="shared" si="11"/>
        <v>3057</v>
      </c>
      <c r="AD18" s="868">
        <f t="shared" si="11"/>
        <v>0</v>
      </c>
      <c r="AE18" s="872">
        <f t="shared" si="11"/>
        <v>0</v>
      </c>
      <c r="AF18" s="865">
        <f t="shared" si="11"/>
        <v>0</v>
      </c>
      <c r="AG18" s="873">
        <f t="shared" si="11"/>
        <v>0</v>
      </c>
      <c r="AH18" s="870">
        <f t="shared" si="11"/>
        <v>0</v>
      </c>
      <c r="AI18" s="865">
        <f t="shared" si="11"/>
        <v>199</v>
      </c>
      <c r="AJ18" s="867">
        <f t="shared" si="11"/>
        <v>0</v>
      </c>
      <c r="AK18" s="870">
        <f t="shared" si="11"/>
        <v>0</v>
      </c>
      <c r="AL18" s="874">
        <f>IF(ISNUMBER(NºAsuntos!G18/NºAsuntos!E18),NºAsuntos!G18/NºAsuntos!E18," - ")</f>
        <v>0.99876786594381473</v>
      </c>
      <c r="AM18" s="874">
        <f>IF(ISNUMBER(((NºAsuntos!I18/NºAsuntos!G18)*11)/factor_trimestre),((NºAsuntos!I18/NºAsuntos!G18)*11)/factor_trimestre," - ")</f>
        <v>1.3407352578337035</v>
      </c>
      <c r="AN18" s="875">
        <f>IF(ISNUMBER('Resol  Asuntos'!D18/NºAsuntos!G18),'Resol  Asuntos'!D18/NºAsuntos!G18," - ")</f>
        <v>4.909943251912164E-2</v>
      </c>
      <c r="AO18" s="876">
        <f>IF(ISNUMBER((NºAsuntos!C18+NºAsuntos!E18)/NºAsuntos!G18),(NºAsuntos!C18+NºAsuntos!E18)/NºAsuntos!G18," - ")</f>
        <v>1.6535899333826796</v>
      </c>
      <c r="AP18" s="877" t="str">
        <f t="shared" si="2"/>
        <v xml:space="preserve"> - </v>
      </c>
      <c r="AQ18" s="877">
        <f>IF(ISNUMBER((H18-W18+K18)/(F18)),(H18-W18+K18)/(F18)," - ")</f>
        <v>-1.7598784194528876</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2458</v>
      </c>
      <c r="G19" s="821">
        <f t="shared" si="13"/>
        <v>2799</v>
      </c>
      <c r="H19" s="820">
        <f t="shared" si="13"/>
        <v>0</v>
      </c>
      <c r="I19" s="822">
        <f t="shared" si="13"/>
        <v>0</v>
      </c>
      <c r="J19" s="822">
        <f t="shared" si="13"/>
        <v>0</v>
      </c>
      <c r="K19" s="881">
        <f t="shared" si="13"/>
        <v>0</v>
      </c>
      <c r="L19" s="822">
        <f t="shared" si="13"/>
        <v>1048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4079</v>
      </c>
      <c r="X19" s="821">
        <f t="shared" si="14"/>
        <v>734</v>
      </c>
      <c r="Y19" s="828">
        <f t="shared" si="14"/>
        <v>4753</v>
      </c>
      <c r="Z19" s="828">
        <f t="shared" si="14"/>
        <v>0</v>
      </c>
      <c r="AA19" s="828">
        <f t="shared" si="14"/>
        <v>2878</v>
      </c>
      <c r="AB19" s="828">
        <f t="shared" si="14"/>
        <v>14942</v>
      </c>
      <c r="AC19" s="828">
        <f t="shared" si="14"/>
        <v>3288</v>
      </c>
      <c r="AD19" s="828">
        <f t="shared" si="14"/>
        <v>0</v>
      </c>
      <c r="AE19" s="830">
        <f t="shared" si="14"/>
        <v>0</v>
      </c>
      <c r="AF19" s="831">
        <f t="shared" si="14"/>
        <v>0</v>
      </c>
      <c r="AG19" s="832">
        <f t="shared" si="14"/>
        <v>0</v>
      </c>
      <c r="AH19" s="830">
        <f t="shared" si="14"/>
        <v>0</v>
      </c>
      <c r="AI19" s="820">
        <f t="shared" si="14"/>
        <v>975</v>
      </c>
      <c r="AJ19" s="820">
        <f t="shared" si="14"/>
        <v>0</v>
      </c>
      <c r="AK19" s="830">
        <f t="shared" si="14"/>
        <v>0</v>
      </c>
      <c r="AL19" s="884">
        <f>IF(ISNUMBER(NºAsuntos!G19/NºAsuntos!E19),NºAsuntos!G19/NºAsuntos!E19," - ")</f>
        <v>0.96887362065375804</v>
      </c>
      <c r="AM19" s="885">
        <f>IF(ISNUMBER(((NºAsuntos!I19/NºAsuntos!G19)*11)/factor_trimestre),((NºAsuntos!I19/NºAsuntos!G19)*11)/factor_trimestre," - ")</f>
        <v>3.4000214892016767</v>
      </c>
      <c r="AN19" s="885">
        <f>IF(ISNUMBER('Resol  Asuntos'!D19/NºAsuntos!G19),'Resol  Asuntos'!D19/NºAsuntos!G19," - ")</f>
        <v>0.10475985817126894</v>
      </c>
      <c r="AO19" s="886">
        <f>IF(ISNUMBER((NºAsuntos!C19+NºAsuntos!E19)/NºAsuntos!G19),(NºAsuntos!C19+NºAsuntos!E19)/NºAsuntos!G19," - ")</f>
        <v>2.6714301063715484</v>
      </c>
      <c r="AP19" s="887" t="str">
        <f t="shared" si="2"/>
        <v xml:space="preserve"> - </v>
      </c>
      <c r="AQ19" s="888">
        <f>IF(OR(ISNUMBER(FIND("01",Criterios!A8,1)),ISNUMBER(FIND("02",Criterios!A8,1)),ISNUMBER(FIND("03",Criterios!A8,1)),ISNUMBER(FIND("04",Criterios!A8,1))),(I19-W19+K19)/(F19-K19),(H19-W19+K19)/(F19-K19))</f>
        <v>-1.6594792514239218</v>
      </c>
      <c r="AR19" s="889">
        <f>IF(ISNUMBER((Datos!P19-Datos!Q19)/(Datos!R19-Datos!P19+Datos!Q19)),(Datos!P19-Datos!Q19)/(Datos!R19-Datos!P19+Datos!Q19)," - ")</f>
        <v>2.1465682253213016E-2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1119.5999999999999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3.7342260837346797</v>
      </c>
      <c r="F21" s="252">
        <f>IF(ISNUMBER(STDEV(F8:F18)),STDEV(F8:F18),"-")</f>
        <v>1240.1483782193161</v>
      </c>
      <c r="G21" s="253">
        <f>IF(ISNUMBER(STDEV(G8:G18)),STDEV(G8:G18),"-")</f>
        <v>1217.966666210533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1995.6526000283716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307.63119539629326</v>
      </c>
      <c r="AJ21" s="252">
        <f t="shared" si="18"/>
        <v>0</v>
      </c>
      <c r="AK21" s="254">
        <f t="shared" si="18"/>
        <v>0</v>
      </c>
      <c r="AL21" s="249">
        <f t="shared" si="18"/>
        <v>7.1751221408218713E-2</v>
      </c>
      <c r="AM21" s="250">
        <f t="shared" si="18"/>
        <v>3.9092272636244991</v>
      </c>
      <c r="AN21" s="250">
        <f t="shared" si="18"/>
        <v>0.11057477142200903</v>
      </c>
      <c r="AO21" s="251">
        <f t="shared" si="18"/>
        <v>1.9572713317894959</v>
      </c>
      <c r="AP21" s="291" t="str">
        <f t="shared" si="18"/>
        <v>-</v>
      </c>
      <c r="AQ21" s="292">
        <f t="shared" si="18"/>
        <v>1.1258105043889985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DFmZypNLYs1+UGii7mZF5k2b2BpQyn4rp8ae0MS1b0CaSsm/JmFQdZW6h31k+PJhbk4F8jUK8+BVU6pEOhmg==" saltValue="ZOUm1dGrcn/Cokjqd4Vw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MOSTOLES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-9.1743119266055051E-3</v>
      </c>
      <c r="I9" s="350">
        <f>IF(ISNUMBER((Tasas!C9-Datos!BE9)/Datos!BE9),(Tasas!C9-Datos!BE9)/Datos!BE9," - ")</f>
        <v>-0.12710682774999543</v>
      </c>
      <c r="J9" s="349">
        <f>IF(ISNUMBER((Tasas!D9-Datos!BF9)/Datos!BF9),(Tasas!D9-Datos!BF9)/Datos!BF9," - ")</f>
        <v>-0.76386455175970214</v>
      </c>
      <c r="K9" s="351">
        <f>IF(ISNUMBER((Tasas!E9-Datos!BG9)/Datos!BG9),(Tasas!E9-Datos!BG9)/Datos!BG9," - ")</f>
        <v>-0.10562003029887</v>
      </c>
      <c r="M9" t="e">
        <f>IF(Monitorios="SI",Datos!CE9,0)</f>
        <v>#REF!</v>
      </c>
      <c r="N9" t="e">
        <f>IF(Monitorios="SI",Datos!CF9,0)</f>
        <v>#REF!</v>
      </c>
      <c r="O9" t="e">
        <f>IF(Monitorios="SI",Datos!CG9,0)</f>
        <v>#REF!</v>
      </c>
      <c r="P9" t="e">
        <f>IF(Monitorios="SI",Datos!CH9,0)</f>
        <v>#REF!</v>
      </c>
      <c r="Q9">
        <f>IF(J_V="SI",0,Datos!AG9)</f>
        <v>170</v>
      </c>
      <c r="R9">
        <f>IF(J_V="SI",0,Datos!AH9)</f>
        <v>99</v>
      </c>
      <c r="S9">
        <f>IF(J_V="SI",0,Datos!AI9)</f>
        <v>82</v>
      </c>
      <c r="T9">
        <f>IF(J_V="SI",0,Datos!AJ9)</f>
        <v>187</v>
      </c>
    </row>
    <row r="10" spans="2:20" ht="14.25">
      <c r="B10" s="275" t="s">
        <v>246</v>
      </c>
      <c r="C10" s="7" t="str">
        <f>Datos!A10</f>
        <v>Jdos. Violencia contra la mujer</v>
      </c>
      <c r="D10" s="352">
        <f>IF(ISNUMBER((Datos!I10-Datos!S10)/Datos!S10),(Datos!I10-Datos!S10)/Datos!S10," - ")</f>
        <v>0.43518518518518517</v>
      </c>
      <c r="E10" s="348">
        <f>IF(ISNUMBER((Datos!J10-Datos!T10)/Datos!T10),(Datos!J10-Datos!T10)/Datos!T10," - ")</f>
        <v>-0.40740740740740738</v>
      </c>
      <c r="F10" s="348">
        <f>IF(ISNUMBER((Datos!K10-Datos!U10)/Datos!U10),(Datos!K10-Datos!U10)/Datos!U10," - ")</f>
        <v>-0.25714285714285712</v>
      </c>
      <c r="G10" s="349">
        <f>IF(ISNUMBER((Datos!L10-Datos!V10)/Datos!V10),(Datos!L10-Datos!V10)/Datos!V10," - ")</f>
        <v>0.26771653543307089</v>
      </c>
      <c r="H10" s="230">
        <f>IF(ISNUMBER((Datos!M10-Datos!W10)/Datos!W10),(Datos!M10-Datos!W10)/Datos!W10," - ")</f>
        <v>-0.30769230769230771</v>
      </c>
      <c r="I10" s="350">
        <f>IF(ISNUMBER((Tasas!C10-Datos!BE10)/Datos!BE10),(Tasas!C10-Datos!BE10)/Datos!BE10," - ")</f>
        <v>0.70654149000605704</v>
      </c>
      <c r="J10" s="349">
        <f>IF(ISNUMBER((Tasas!D10-Datos!BF10)/Datos!BF10),(Tasas!D10-Datos!BF10)/Datos!BF10," - ")</f>
        <v>-6.8047337278106565E-2</v>
      </c>
      <c r="K10" s="351">
        <f>IF(ISNUMBER((Tasas!E10-Datos!BG10)/Datos!BG10),(Tasas!E10-Datos!BG10)/Datos!BG10," - ")</f>
        <v>0.55389363722697049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-0.125</v>
      </c>
      <c r="I11" s="350">
        <f>IF(ISNUMBER((Tasas!C11-Datos!BE11)/Datos!BE11),(Tasas!C11-Datos!BE11)/Datos!BE11," - ")</f>
        <v>-7.1767245961654791E-2</v>
      </c>
      <c r="J11" s="349">
        <f>IF(ISNUMBER((Tasas!D11-Datos!BF11)/Datos!BF11),(Tasas!D11-Datos!BF11)/Datos!BF11," - ")</f>
        <v>-0.7275909338940868</v>
      </c>
      <c r="K11" s="351">
        <f>IF(ISNUMBER((Tasas!E11-Datos!BG11)/Datos!BG11),(Tasas!E11-Datos!BG11)/Datos!BG11," - ")</f>
        <v>2.7322056080326439E-3</v>
      </c>
      <c r="M11" t="e">
        <f>IF(Monitorios="SI",Datos!CE11,0)</f>
        <v>#REF!</v>
      </c>
      <c r="N11" t="e">
        <f>IF(Monitorios="SI",Datos!CF11,0)</f>
        <v>#REF!</v>
      </c>
      <c r="O11" t="e">
        <f>IF(Monitorios="SI",Datos!CG11,0)</f>
        <v>#REF!</v>
      </c>
      <c r="P11" t="e">
        <f>IF(Monitorios="SI",Datos!CH11,0)</f>
        <v>#REF!</v>
      </c>
      <c r="Q11">
        <f>IF(J_V="SI",0,Datos!AG11)</f>
        <v>256</v>
      </c>
      <c r="R11">
        <f>IF(J_V="SI",0,Datos!AH11)</f>
        <v>410</v>
      </c>
      <c r="S11">
        <f>IF(J_V="SI",0,Datos!AI11)</f>
        <v>284</v>
      </c>
      <c r="T11">
        <f>IF(J_V="SI",0,Datos!AJ11)</f>
        <v>382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-3.3623910336239106E-2</v>
      </c>
      <c r="I13" s="357">
        <f>IF(ISNUMBER((Tasas!C13-Datos!BE13)/Datos!BE13),(Tasas!C13-Datos!BE13)/Datos!BE13," - ")</f>
        <v>-0.11157679146661417</v>
      </c>
      <c r="J13" s="355">
        <f>IF(ISNUMBER((Tasas!D13-Datos!BF13)/Datos!BF13),(Tasas!D13-Datos!BF13)/Datos!BF13," - ")</f>
        <v>-0.75716242612510731</v>
      </c>
      <c r="K13" s="358">
        <f>IF(ISNUMBER((Tasas!E13-Datos!BG13)/Datos!BG13),(Tasas!E13-Datos!BG13)/Datos!BG13," - ")</f>
        <v>-8.5881817691224258E-2</v>
      </c>
      <c r="M13" t="e">
        <f>IF(Monitorios="SI",Datos!CE13,0)</f>
        <v>#REF!</v>
      </c>
      <c r="N13" t="e">
        <f>IF(Monitorios="SI",Datos!CF13,0)</f>
        <v>#REF!</v>
      </c>
      <c r="O13" t="e">
        <f>IF(Monitorios="SI",Datos!CG13,0)</f>
        <v>#REF!</v>
      </c>
      <c r="P13" t="e">
        <f>IF(Monitorios="SI",Datos!CH13,0)</f>
        <v>#REF!</v>
      </c>
      <c r="Q13">
        <f>IF(J_V="SI",0,Datos!AG13)</f>
        <v>426</v>
      </c>
      <c r="R13">
        <f>IF(J_V="SI",0,Datos!AH13)</f>
        <v>509</v>
      </c>
      <c r="S13">
        <f>IF(J_V="SI",0,Datos!AI13)</f>
        <v>366</v>
      </c>
      <c r="T13">
        <f>IF(J_V="SI",0,Datos!AJ13)</f>
        <v>569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-5.9343434343434344E-2</v>
      </c>
      <c r="E15" s="348">
        <f>IF(ISNUMBER(
   IF(D_I="SI",(Datos!J15-Datos!T15)/Datos!T15,(Datos!J15+Datos!AD15-(Datos!T15+Datos!AL15))/(Datos!T15+Datos!AL15))
     ),IF(D_I="SI",(Datos!J15-Datos!T15)/Datos!T15,(Datos!J15+Datos!AD15-(Datos!T15+Datos!AL15))/(Datos!T15+Datos!AL15))," - ")</f>
        <v>-6.6833751044277356E-3</v>
      </c>
      <c r="F15" s="348">
        <f>IF(ISNUMBER(
   IF(D_I="SI",(Datos!K15-Datos!U15)/Datos!U15,(Datos!K15+Datos!AE15-(Datos!U15+Datos!AM15))/(Datos!U15+Datos!AM15))
     ),IF(D_I="SI",(Datos!K15-Datos!U15)/Datos!U15,(Datos!K15+Datos!AE15-(Datos!U15+Datos!AM15))/(Datos!U15+Datos!AM15))," - ")</f>
        <v>5.635062611806798E-2</v>
      </c>
      <c r="G15" s="349">
        <f>IF(ISNUMBER(
   IF(D_I="SI",(Datos!L15-Datos!V15)/Datos!V15,(Datos!L15+Datos!AF15-(Datos!V15+Datos!AN15))/(Datos!V15+Datos!AN15))
     ),IF(D_I="SI",(Datos!L15-Datos!V15)/Datos!V15,(Datos!L15+Datos!AF15-(Datos!V15+Datos!AN15))/(Datos!V15+Datos!AN15))," - ")</f>
        <v>-0.12387048192771084</v>
      </c>
      <c r="H15" s="230">
        <f>IF(ISNUMBER((Datos!M15-Datos!W15)/Datos!W15),(Datos!M15-Datos!W15)/Datos!W15," - ")</f>
        <v>-0.23045267489711935</v>
      </c>
      <c r="I15" s="350">
        <f>IF(ISNUMBER((Tasas!C15-Datos!BE15)/Datos!BE15),(Tasas!C15-Datos!BE15)/Datos!BE15," - ")</f>
        <v>-0.17060728094426825</v>
      </c>
      <c r="J15" s="349">
        <f>IF(ISNUMBER((Tasas!D15-Datos!BF15)/Datos!BF15),(Tasas!D15-Datos!BF15)/Datos!BF15," - ")</f>
        <v>-0.2715038869898217</v>
      </c>
      <c r="K15" s="351">
        <f>IF(ISNUMBER((Tasas!E15-Datos!BG15)/Datos!BG15),(Tasas!E15-Datos!BG15)/Datos!BG15," - ")</f>
        <v>-7.9521619542539085E-2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5.9585492227979271E-2</v>
      </c>
      <c r="E17" s="348">
        <f>IF(ISNUMBER(
   IF(D_I="SI",(Datos!J17-Datos!T17)/Datos!T17,(Datos!J17+Datos!AD17-(Datos!T17+Datos!AL17))/(Datos!T17+Datos!AL17))
     ),IF(D_I="SI",(Datos!J17-Datos!T17)/Datos!T17,(Datos!J17+Datos!AD17-(Datos!T17+Datos!AL17))/(Datos!T17+Datos!AL17))," - ")</f>
        <v>-0.18302828618968386</v>
      </c>
      <c r="F17" s="348">
        <f>IF(ISNUMBER(
   IF(D_I="SI",(Datos!K17-Datos!U17)/Datos!U17,(Datos!K17+Datos!AE17-(Datos!U17+Datos!AM17))/(Datos!U17+Datos!AM17))
     ),IF(D_I="SI",(Datos!K17-Datos!U17)/Datos!U17,(Datos!K17+Datos!AE17-(Datos!U17+Datos!AM17))/(Datos!U17+Datos!AM17))," - ")</f>
        <v>1.3916500994035786E-2</v>
      </c>
      <c r="G17" s="349">
        <f>IF(ISNUMBER(
   IF(D_I="SI",(Datos!L17-Datos!V17)/Datos!V17,(Datos!L17+Datos!AF17-(Datos!V17+Datos!AN17))/(Datos!V17+Datos!AN17))
     ),IF(D_I="SI",(Datos!L17-Datos!V17)/Datos!V17,(Datos!L17+Datos!AF17-(Datos!V17+Datos!AN17))/(Datos!V17+Datos!AN17))," - ")</f>
        <v>-0.19421487603305784</v>
      </c>
      <c r="H17" s="230">
        <f>IF(ISNUMBER((Datos!M17-Datos!W17)/Datos!W17),(Datos!M17-Datos!W17)/Datos!W17," - ")</f>
        <v>-0.4</v>
      </c>
      <c r="I17" s="350">
        <f>IF(ISNUMBER((Tasas!C17-Datos!BE17)/Datos!BE17),(Tasas!C17-Datos!BE17)/Datos!BE17," - ")</f>
        <v>-0.20527467185221199</v>
      </c>
      <c r="J17" s="349">
        <f>IF(ISNUMBER((Tasas!D17-Datos!BF17)/Datos!BF17),(Tasas!D17-Datos!BF17)/Datos!BF17," - ")</f>
        <v>-0.40823529411764709</v>
      </c>
      <c r="K17" s="351">
        <f>IF(ISNUMBER((Tasas!E17-Datos!BG17)/Datos!BG17),(Tasas!E17-Datos!BG17)/Datos!BG17," - ")</f>
        <v>-0.10066154121222963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-4.2722664735698766E-2</v>
      </c>
      <c r="E18" s="354">
        <f>IF(ISNUMBER(
   IF(D_I="SI",(Datos!J18-Datos!T18)/Datos!T18,(Datos!J18+Datos!AD18-(Datos!T18+Datos!AL18))/(Datos!T18+Datos!AL18))
     ),IF(D_I="SI",(Datos!J18-Datos!T18)/Datos!T18,(Datos!J18+Datos!AD18-(Datos!T18+Datos!AL18))/(Datos!T18+Datos!AL18))," - ")</f>
        <v>-3.196564885496183E-2</v>
      </c>
      <c r="F18" s="354">
        <f>IF(ISNUMBER(
   IF(D_I="SI",(Datos!K18-Datos!U18)/Datos!U18,(Datos!K18+Datos!AE18-(Datos!U18+Datos!AM18))/(Datos!U18+Datos!AM18))
     ),IF(D_I="SI",(Datos!K18-Datos!U18)/Datos!U18,(Datos!K18+Datos!AE18-(Datos!U18+Datos!AM18))/(Datos!U18+Datos!AM18))," - ")</f>
        <v>5.0816696914700546E-2</v>
      </c>
      <c r="G18" s="355">
        <f>IF(ISNUMBER(
   IF(D_I="SI",(Datos!L18-Datos!V18)/Datos!V18,(Datos!L18+Datos!AF18-(Datos!V18+Datos!AN18))/(Datos!V18+Datos!AN18))
     ),IF(D_I="SI",(Datos!L18-Datos!V18)/Datos!V18,(Datos!L18+Datos!AF18-(Datos!V18+Datos!AN18))/(Datos!V18+Datos!AN18))," - ")</f>
        <v>-0.13471337579617834</v>
      </c>
      <c r="H18" s="356">
        <f>IF(ISNUMBER((Datos!M18-Datos!W18)/Datos!W18),(Datos!M18-Datos!W18)/Datos!W18," - ")</f>
        <v>-0.24334600760456274</v>
      </c>
      <c r="I18" s="357">
        <f>IF(ISNUMBER((Tasas!C18-Datos!BE18)/Datos!BE18),(Tasas!C18-Datos!BE18)/Datos!BE18," - ")</f>
        <v>-0.1765579793846187</v>
      </c>
      <c r="J18" s="355">
        <f>IF(ISNUMBER((Tasas!D18-Datos!BF18)/Datos!BF18),(Tasas!D18-Datos!BF18)/Datos!BF18," - ")</f>
        <v>-0.27993721967204505</v>
      </c>
      <c r="K18" s="358">
        <f>IF(ISNUMBER((Tasas!E18-Datos!BG18)/Datos!BG18),(Tasas!E18-Datos!BG18)/Datos!BG18," - ")</f>
        <v>-8.2844927659333475E-2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5.5920824970586203E-2</v>
      </c>
      <c r="E19" s="363">
        <f>IF(ISNUMBER(
   IF(J_V="SI",(Datos!J19-Datos!T19)/Datos!T19,(Datos!J19+Datos!Z19-(Datos!T19+Datos!AH19))/(Datos!T19+Datos!AH19))
     ),IF(J_V="SI",(Datos!J19-Datos!T19)/Datos!T19,(Datos!J19+Datos!Z19-(Datos!T19+Datos!AH19))/(Datos!T19+Datos!AH19))," - ")</f>
        <v>6.918238993710692E-3</v>
      </c>
      <c r="F19" s="363">
        <f>IF(ISNUMBER(
   IF(J_V="SI",(Datos!K19-Datos!U19)/Datos!U19,(Datos!K19+Datos!AA19-(Datos!U19+Datos!AI19))/(Datos!U19+Datos!AI19))
     ),IF(J_V="SI",(Datos!K19-Datos!U19)/Datos!U19,(Datos!K19+Datos!AA19-(Datos!U19+Datos!AI19))/(Datos!U19+Datos!AI19))," - ")</f>
        <v>0.1130112413298254</v>
      </c>
      <c r="G19" s="364">
        <f>IF(ISNUMBER(
   IF(J_V="SI",(Datos!L19-Datos!V19)/Datos!V19,(Datos!L19+Datos!AB19-(Datos!V19+Datos!AJ19))/(Datos!V19+Datos!AJ19))
     ),IF(J_V="SI",(Datos!L19-Datos!V19)/Datos!V19,(Datos!L19+Datos!AB19-(Datos!V19+Datos!AJ19))/(Datos!V19+Datos!AJ19))," - ")</f>
        <v>2.1535343298707882E-3</v>
      </c>
      <c r="H19" s="365">
        <f>IF(ISNUMBER((Datos!M19-Datos!W19)/Datos!W19),(Datos!M19-Datos!W19)/Datos!W19," - ")</f>
        <v>-8.5365853658536592E-2</v>
      </c>
      <c r="I19" s="362">
        <f>IF(ISNUMBER((Tasas!C19-Datos!BE19)/Datos!BE19),(Tasas!C19-Datos!BE19)/Datos!BE19," - ")</f>
        <v>-9.9601605880909064E-2</v>
      </c>
      <c r="J19" s="363">
        <f>IF(ISNUMBER((Tasas!D19-Datos!BF19)/Datos!BF19),(Tasas!D19-Datos!BF19)/Datos!BF19," - ")</f>
        <v>-0.70829106425969013</v>
      </c>
      <c r="K19" s="364">
        <f>IF(ISNUMBER((Tasas!E19-Datos!BG19)/Datos!BG19),(Tasas!E19-Datos!BG19)/Datos!BG19," - ")</f>
        <v>-6.8802428217979522E-2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0.2307446092612491</v>
      </c>
      <c r="E21" s="278">
        <f t="shared" si="1"/>
        <v>0.18403778950683286</v>
      </c>
      <c r="F21" s="278">
        <f t="shared" si="1"/>
        <v>0.14993980192687204</v>
      </c>
      <c r="G21" s="279">
        <f t="shared" si="1"/>
        <v>0.21159654714741824</v>
      </c>
      <c r="H21" s="285">
        <f t="shared" si="1"/>
        <v>0.1436181001946899</v>
      </c>
      <c r="I21" s="277">
        <f t="shared" si="1"/>
        <v>0.32452068194493594</v>
      </c>
      <c r="J21" s="278">
        <f t="shared" si="1"/>
        <v>0.28167666517241413</v>
      </c>
      <c r="K21" s="279">
        <f t="shared" si="1"/>
        <v>0.24054366810600669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XoDsuBT/HeoyzbrUGjQRRjAsmQGqp3+gAXgakl1PAnPSjEY6fgz4ir36ByadWc5+fH7nug2HOScwIF4oc4DaQ==" saltValue="LIzw8cROp77i+TcfrGRH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